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juana_carrasco_osf_pe/Documents/Escritorio/SAP/"/>
    </mc:Choice>
  </mc:AlternateContent>
  <xr:revisionPtr revIDLastSave="185" documentId="8_{CBA15C15-350A-4F85-8FEA-54E14A0AF622}" xr6:coauthVersionLast="47" xr6:coauthVersionMax="47" xr10:uidLastSave="{9E987293-3CB7-4137-B288-D8AFF87E590B}"/>
  <bookViews>
    <workbookView xWindow="-108" yWindow="-108" windowWidth="23256" windowHeight="12456" activeTab="6" xr2:uid="{54FDA7C5-830F-4899-9DDC-97E0AD6197B2}"/>
  </bookViews>
  <sheets>
    <sheet name="Hoja1" sheetId="1" r:id="rId1"/>
    <sheet name="Hoja2" sheetId="2" r:id="rId2"/>
    <sheet name="anticipo" sheetId="5" r:id="rId3"/>
    <sheet name="mayor" sheetId="4" r:id="rId4"/>
    <sheet name="Hoja3" sheetId="6" r:id="rId5"/>
    <sheet name="FFR10" sheetId="3" r:id="rId6"/>
    <sheet name="CASO PRUEBA" sheetId="7" r:id="rId7"/>
  </sheets>
  <definedNames>
    <definedName name="_xlnm._FilterDatabase" localSheetId="6" hidden="1">'CASO PRUEBA'!$B$13:$AH$17</definedName>
    <definedName name="_xlnm._FilterDatabase" localSheetId="5" hidden="1">'FFR10'!$B$13:$AH$20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4" i="7" l="1"/>
  <c r="J29" i="7"/>
  <c r="J28" i="7"/>
  <c r="J27" i="7"/>
  <c r="X26" i="7"/>
  <c r="X25" i="7"/>
  <c r="X27" i="7"/>
  <c r="W14" i="7" l="1"/>
  <c r="V14" i="7"/>
  <c r="U14" i="7"/>
  <c r="S14" i="7"/>
  <c r="N14" i="7"/>
  <c r="J14" i="7"/>
  <c r="I6" i="7"/>
  <c r="B17" i="7"/>
  <c r="B14" i="7"/>
  <c r="AC18" i="7" l="1"/>
  <c r="N18" i="7"/>
  <c r="O18" i="7"/>
  <c r="Q14" i="7"/>
  <c r="N21" i="3"/>
  <c r="J5" i="7"/>
  <c r="J5" i="3"/>
  <c r="N14" i="3"/>
  <c r="S21" i="3"/>
  <c r="AD21" i="3"/>
  <c r="AC21" i="3"/>
  <c r="X21" i="3"/>
  <c r="W21" i="3"/>
  <c r="V21" i="3"/>
  <c r="U21" i="3"/>
  <c r="O21" i="3"/>
  <c r="M21" i="3"/>
  <c r="J21" i="3"/>
  <c r="C21" i="3"/>
  <c r="B21" i="3"/>
  <c r="B20" i="3"/>
  <c r="B19" i="3"/>
  <c r="B17" i="3"/>
  <c r="B16" i="3"/>
  <c r="B15" i="3"/>
  <c r="B14" i="3"/>
  <c r="D21" i="3"/>
  <c r="AA17" i="7"/>
  <c r="AC17" i="7" s="1"/>
  <c r="S17" i="7"/>
  <c r="N17" i="7"/>
  <c r="Q17" i="7" s="1"/>
  <c r="U17" i="7" s="1"/>
  <c r="V17" i="7" s="1"/>
  <c r="J17" i="7"/>
  <c r="D17" i="7" s="1"/>
  <c r="C17" i="7" s="1"/>
  <c r="AA16" i="7"/>
  <c r="AC16" i="7" s="1"/>
  <c r="S16" i="7"/>
  <c r="B16" i="7" s="1"/>
  <c r="N16" i="7"/>
  <c r="Q16" i="7" s="1"/>
  <c r="U16" i="7" s="1"/>
  <c r="V16" i="7" s="1"/>
  <c r="J16" i="7"/>
  <c r="D16" i="7"/>
  <c r="AA15" i="7"/>
  <c r="AC15" i="7" s="1"/>
  <c r="S15" i="7"/>
  <c r="B15" i="7" s="1"/>
  <c r="N15" i="7"/>
  <c r="J15" i="7"/>
  <c r="D15" i="7" s="1"/>
  <c r="AA14" i="7"/>
  <c r="AC14" i="7" s="1"/>
  <c r="D14" i="7"/>
  <c r="K5" i="7"/>
  <c r="H5" i="7"/>
  <c r="I5" i="7" s="1"/>
  <c r="D13" i="6"/>
  <c r="C12" i="6"/>
  <c r="D4" i="6"/>
  <c r="D10" i="6"/>
  <c r="C9" i="6"/>
  <c r="D7" i="6"/>
  <c r="N36" i="1"/>
  <c r="X18" i="3"/>
  <c r="G35" i="1"/>
  <c r="E24" i="1"/>
  <c r="G17" i="1"/>
  <c r="O6" i="1"/>
  <c r="K19" i="1" s="1"/>
  <c r="N5" i="1"/>
  <c r="AA20" i="3"/>
  <c r="AC20" i="3" s="1"/>
  <c r="S20" i="3"/>
  <c r="N20" i="3"/>
  <c r="J20" i="3"/>
  <c r="D20" i="3" s="1"/>
  <c r="AA19" i="3"/>
  <c r="AC19" i="3" s="1"/>
  <c r="S19" i="3"/>
  <c r="N19" i="3"/>
  <c r="Q19" i="3" s="1"/>
  <c r="U19" i="3" s="1"/>
  <c r="V19" i="3" s="1"/>
  <c r="J19" i="3"/>
  <c r="D19" i="3" s="1"/>
  <c r="AA18" i="3"/>
  <c r="AC18" i="3" s="1"/>
  <c r="D31" i="1" s="1"/>
  <c r="D33" i="1" s="1"/>
  <c r="S18" i="3"/>
  <c r="N18" i="3"/>
  <c r="E29" i="1" s="1"/>
  <c r="J18" i="3"/>
  <c r="D18" i="3" s="1"/>
  <c r="AA17" i="3"/>
  <c r="AC17" i="3" s="1"/>
  <c r="S17" i="3"/>
  <c r="N17" i="3"/>
  <c r="J17" i="3"/>
  <c r="AA16" i="3"/>
  <c r="AC16" i="3" s="1"/>
  <c r="S16" i="3"/>
  <c r="N16" i="3"/>
  <c r="J16" i="3"/>
  <c r="D16" i="3" s="1"/>
  <c r="AA15" i="3"/>
  <c r="AC15" i="3" s="1"/>
  <c r="S15" i="3"/>
  <c r="N15" i="3"/>
  <c r="Q15" i="3" s="1"/>
  <c r="U15" i="3" s="1"/>
  <c r="V15" i="3" s="1"/>
  <c r="J15" i="3"/>
  <c r="D15" i="3" s="1"/>
  <c r="AA14" i="3"/>
  <c r="AC14" i="3" s="1"/>
  <c r="S14" i="3"/>
  <c r="J14" i="3"/>
  <c r="K5" i="3"/>
  <c r="H5" i="3"/>
  <c r="I5" i="3" s="1"/>
  <c r="B18" i="7" l="1"/>
  <c r="S18" i="7"/>
  <c r="D18" i="7"/>
  <c r="J18" i="7"/>
  <c r="H3" i="7" s="1"/>
  <c r="I3" i="7" s="1"/>
  <c r="C14" i="7"/>
  <c r="C16" i="7"/>
  <c r="C15" i="7"/>
  <c r="X14" i="7"/>
  <c r="AD14" i="7" s="1"/>
  <c r="W17" i="7"/>
  <c r="X17" i="7" s="1"/>
  <c r="AD17" i="7" s="1"/>
  <c r="W16" i="7"/>
  <c r="Q15" i="7"/>
  <c r="U15" i="7" s="1"/>
  <c r="V15" i="7" s="1"/>
  <c r="V18" i="7" s="1"/>
  <c r="S20" i="7"/>
  <c r="B18" i="3"/>
  <c r="S23" i="3" s="1"/>
  <c r="D14" i="3"/>
  <c r="C14" i="3" s="1"/>
  <c r="D17" i="3"/>
  <c r="C17" i="3" s="1"/>
  <c r="C20" i="3"/>
  <c r="C16" i="3"/>
  <c r="C19" i="3"/>
  <c r="C15" i="3"/>
  <c r="C18" i="3"/>
  <c r="E32" i="1" s="1"/>
  <c r="H3" i="3"/>
  <c r="W19" i="3"/>
  <c r="X19" i="3" s="1"/>
  <c r="AD19" i="3" s="1"/>
  <c r="W15" i="3"/>
  <c r="X15" i="3" s="1"/>
  <c r="AD15" i="3" s="1"/>
  <c r="Q18" i="3"/>
  <c r="U18" i="3" s="1"/>
  <c r="V18" i="3" s="1"/>
  <c r="W18" i="3" s="1"/>
  <c r="I30" i="1" s="1"/>
  <c r="Q17" i="3"/>
  <c r="U17" i="3" s="1"/>
  <c r="V17" i="3" s="1"/>
  <c r="Q14" i="3"/>
  <c r="U14" i="3" s="1"/>
  <c r="V14" i="3" s="1"/>
  <c r="Q16" i="3"/>
  <c r="U16" i="3" s="1"/>
  <c r="V16" i="3" s="1"/>
  <c r="Q20" i="3"/>
  <c r="U20" i="3" s="1"/>
  <c r="V20" i="3" s="1"/>
  <c r="X16" i="7" l="1"/>
  <c r="C18" i="7"/>
  <c r="W15" i="7"/>
  <c r="X15" i="7" s="1"/>
  <c r="D36" i="1"/>
  <c r="I3" i="3"/>
  <c r="I6" i="3"/>
  <c r="W14" i="3"/>
  <c r="X14" i="3" s="1"/>
  <c r="AD14" i="3" s="1"/>
  <c r="W20" i="3"/>
  <c r="X20" i="3" s="1"/>
  <c r="AD20" i="3" s="1"/>
  <c r="W17" i="3"/>
  <c r="X17" i="3" s="1"/>
  <c r="AD17" i="3" s="1"/>
  <c r="E30" i="1"/>
  <c r="J29" i="1" s="1"/>
  <c r="W16" i="3"/>
  <c r="X16" i="3"/>
  <c r="AD16" i="3" s="1"/>
  <c r="W18" i="7" l="1"/>
  <c r="AD16" i="7"/>
  <c r="X18" i="7"/>
  <c r="AD15" i="7"/>
  <c r="N21" i="7"/>
  <c r="D38" i="1"/>
  <c r="M36" i="1"/>
  <c r="O36" i="1" s="1"/>
  <c r="H30" i="1"/>
  <c r="J30" i="1" s="1"/>
  <c r="E33" i="1"/>
  <c r="AD18" i="3"/>
  <c r="N24" i="3"/>
  <c r="AD18" i="7" l="1"/>
  <c r="P36" i="1"/>
</calcChain>
</file>

<file path=xl/sharedStrings.xml><?xml version="1.0" encoding="utf-8"?>
<sst xmlns="http://schemas.openxmlformats.org/spreadsheetml/2006/main" count="386" uniqueCount="171">
  <si>
    <t>factura anticipo 1</t>
  </si>
  <si>
    <t>cargo</t>
  </si>
  <si>
    <t>abono</t>
  </si>
  <si>
    <t>nota credito anticipo</t>
  </si>
  <si>
    <t>nota de credito</t>
  </si>
  <si>
    <t>Species</t>
  </si>
  <si>
    <t>Total (KG)</t>
  </si>
  <si>
    <t>EXW (usd/Kg)</t>
  </si>
  <si>
    <t>Total USD</t>
  </si>
  <si>
    <t>Total 90%</t>
  </si>
  <si>
    <t>Sold</t>
  </si>
  <si>
    <t>Available</t>
  </si>
  <si>
    <t>Flyinggfish Roe</t>
  </si>
  <si>
    <t>75YG-02C</t>
  </si>
  <si>
    <t>CONTRACT N°.</t>
  </si>
  <si>
    <t>Product</t>
  </si>
  <si>
    <t>Size</t>
  </si>
  <si>
    <t>Price EXW (USD/Kg)</t>
  </si>
  <si>
    <t>Total EXW (USD)</t>
  </si>
  <si>
    <t>Client</t>
  </si>
  <si>
    <t>ETD</t>
  </si>
  <si>
    <t>Kg sold</t>
  </si>
  <si>
    <t>SLI (USD)</t>
  </si>
  <si>
    <t>Sea Freight (USD)</t>
  </si>
  <si>
    <t>Destination</t>
  </si>
  <si>
    <t>CFR OSF Cost (USD/Kg)</t>
  </si>
  <si>
    <t>FINAL PRICE CFR (USD/Kg)</t>
  </si>
  <si>
    <t>FINAL PRICE CFR (USD)</t>
  </si>
  <si>
    <t>Payment Terms</t>
  </si>
  <si>
    <t>PROFIT (USD/Kg)</t>
  </si>
  <si>
    <t>TOTAL PROFIT (USD)</t>
  </si>
  <si>
    <t>YR PROFIT (USD)</t>
  </si>
  <si>
    <t>OSF PROFIT (USD)</t>
  </si>
  <si>
    <t>DISBURSEMENT DATE</t>
  </si>
  <si>
    <t>ESTIMATED COLLECTION</t>
  </si>
  <si>
    <t>TOTAL DAYS ELAPSED</t>
  </si>
  <si>
    <t>Additional Invoice</t>
  </si>
  <si>
    <t>Additional 3% interest</t>
  </si>
  <si>
    <t>Pending Payments to OSF</t>
  </si>
  <si>
    <t>Closed deal date</t>
  </si>
  <si>
    <t>Closed deal amount</t>
  </si>
  <si>
    <t>Estimated Collection CD</t>
  </si>
  <si>
    <t>Balance amount CD</t>
  </si>
  <si>
    <t>P-445-21A</t>
  </si>
  <si>
    <t>Flying Fish</t>
  </si>
  <si>
    <t>FFR</t>
  </si>
  <si>
    <t>Projac Foods</t>
  </si>
  <si>
    <t>China, Xiamen</t>
  </si>
  <si>
    <t>100% against copy of documents</t>
  </si>
  <si>
    <t>P-445-21B</t>
  </si>
  <si>
    <t>P-445-21C</t>
  </si>
  <si>
    <t>P-456-21A</t>
  </si>
  <si>
    <t>Taiwan, Kaohsiung</t>
  </si>
  <si>
    <t>P-67-22A</t>
  </si>
  <si>
    <t xml:space="preserve">Sea Castle T.-  Daiei Foods </t>
  </si>
  <si>
    <t>Japan, Yokohama</t>
  </si>
  <si>
    <t>P-52-22A</t>
  </si>
  <si>
    <t>Sea Castle T.-  Sia "Sudrablinis"</t>
  </si>
  <si>
    <t>Letonia, Riga Rut</t>
  </si>
  <si>
    <t>P-33-22A(1)</t>
  </si>
  <si>
    <t>Sea Castle T.- Yantai Luxing Aquatic Products</t>
  </si>
  <si>
    <t>China, Qingdao</t>
  </si>
  <si>
    <t>CODIGO</t>
  </si>
  <si>
    <t>TIPO_AS</t>
  </si>
  <si>
    <t>CODEMP</t>
  </si>
  <si>
    <t>NOMEMP</t>
  </si>
  <si>
    <t>MES</t>
  </si>
  <si>
    <t>LIBCON</t>
  </si>
  <si>
    <t>NROCOM</t>
  </si>
  <si>
    <t>CODCTA</t>
  </si>
  <si>
    <t>NOMCTA</t>
  </si>
  <si>
    <t>CARGO</t>
  </si>
  <si>
    <t>ABONO</t>
  </si>
  <si>
    <t>SALDO</t>
  </si>
  <si>
    <t>MONED</t>
  </si>
  <si>
    <t>TIPCAM</t>
  </si>
  <si>
    <t>DOLARES</t>
  </si>
  <si>
    <t>FECDOC</t>
  </si>
  <si>
    <t>CONCEPTO</t>
  </si>
  <si>
    <t>CTACTE</t>
  </si>
  <si>
    <t>NOMCTACTE</t>
  </si>
  <si>
    <t>TIPDOC</t>
  </si>
  <si>
    <t>NUMDOC</t>
  </si>
  <si>
    <t>ID_CENCOS</t>
  </si>
  <si>
    <t>NOM_CENCOS</t>
  </si>
  <si>
    <t>SERDOC</t>
  </si>
  <si>
    <t>CODLOC_SLP</t>
  </si>
  <si>
    <t>ANIO_SLP</t>
  </si>
  <si>
    <t>TIPO_SLP</t>
  </si>
  <si>
    <t>NRO_SLP</t>
  </si>
  <si>
    <t>TIPO_SLPD</t>
  </si>
  <si>
    <t>USUARIO</t>
  </si>
  <si>
    <t>CONSTANCIADEPOSITO</t>
  </si>
  <si>
    <t>FECHADEPOSITO</t>
  </si>
  <si>
    <t>VALOR</t>
  </si>
  <si>
    <t>COD_ALMACEN</t>
  </si>
  <si>
    <t>COD_ARTICULO</t>
  </si>
  <si>
    <t>NRO_LOTE</t>
  </si>
  <si>
    <t>CODIGOBEN</t>
  </si>
  <si>
    <t>NOMBREBEN</t>
  </si>
  <si>
    <t>FECREG</t>
  </si>
  <si>
    <t>FECHA</t>
  </si>
  <si>
    <t>HORA</t>
  </si>
  <si>
    <t>1103042022040650</t>
  </si>
  <si>
    <t xml:space="preserve">MANUAL    </t>
  </si>
  <si>
    <t>11</t>
  </si>
  <si>
    <t>OCEANO SEAFOOD S.A.</t>
  </si>
  <si>
    <t>04</t>
  </si>
  <si>
    <t>0650</t>
  </si>
  <si>
    <t>104105</t>
  </si>
  <si>
    <t>BCP ME 191-2264063-1-32</t>
  </si>
  <si>
    <t>D</t>
  </si>
  <si>
    <t>PAGOS A SEA CASTLE MES DE ABRIL</t>
  </si>
  <si>
    <t>20100047218</t>
  </si>
  <si>
    <t>BANCO DE CREDITO DEL PERU</t>
  </si>
  <si>
    <t>TL</t>
  </si>
  <si>
    <t>215795097</t>
  </si>
  <si>
    <t>YCASTRO</t>
  </si>
  <si>
    <t>421203</t>
  </si>
  <si>
    <t>216652136</t>
  </si>
  <si>
    <t>217511333</t>
  </si>
  <si>
    <t>216557136</t>
  </si>
  <si>
    <t>217288637</t>
  </si>
  <si>
    <t>216203780</t>
  </si>
  <si>
    <t>217124350</t>
  </si>
  <si>
    <t>217185132</t>
  </si>
  <si>
    <t>217075039</t>
  </si>
  <si>
    <t>nota de credito 2</t>
  </si>
  <si>
    <t>12 (2)</t>
  </si>
  <si>
    <t>12 (1)</t>
  </si>
  <si>
    <t>122 (1)</t>
  </si>
  <si>
    <t>122 (2)</t>
  </si>
  <si>
    <t>122(1)</t>
  </si>
  <si>
    <t>factura al cliente</t>
  </si>
  <si>
    <t>al cliente</t>
  </si>
  <si>
    <t>referencia F anticipo (1)</t>
  </si>
  <si>
    <t>12 (3)</t>
  </si>
  <si>
    <t>la 12 (1) queda</t>
  </si>
  <si>
    <t xml:space="preserve">generas la cta 46 aplica la NC (3) </t>
  </si>
  <si>
    <t>emite nota de credito por el 90 % de los  324,240 contra  la 122 (1)</t>
  </si>
  <si>
    <t>46 seacstle</t>
  </si>
  <si>
    <t>tesroería paga</t>
  </si>
  <si>
    <t>aplicación de Ellibeth del closed  yokorey paga 105, 911,45</t>
  </si>
  <si>
    <t>flte</t>
  </si>
  <si>
    <t>sli</t>
  </si>
  <si>
    <t>profit</t>
  </si>
  <si>
    <t>nc por penalidad</t>
  </si>
  <si>
    <t>total</t>
  </si>
  <si>
    <t>1.-</t>
  </si>
  <si>
    <t>2.-</t>
  </si>
  <si>
    <t>3.-aplicación</t>
  </si>
  <si>
    <t>4.-</t>
  </si>
  <si>
    <t>5.-</t>
  </si>
  <si>
    <t>6.-</t>
  </si>
  <si>
    <t>7.-</t>
  </si>
  <si>
    <t>8.-</t>
  </si>
  <si>
    <t>9.-</t>
  </si>
  <si>
    <t>FT</t>
  </si>
  <si>
    <t>NC</t>
  </si>
  <si>
    <t>INGRESA ANTICIPO</t>
  </si>
  <si>
    <t>POTA</t>
  </si>
  <si>
    <t>P-253-22A</t>
  </si>
  <si>
    <t>P-255-22A</t>
  </si>
  <si>
    <t>PF-PEXW</t>
  </si>
  <si>
    <t>ganancia en la operación</t>
  </si>
  <si>
    <t>el mayor entre 1.5%J y V</t>
  </si>
  <si>
    <t>en este caso intereses=-5190.49 yokorei emite factura</t>
  </si>
  <si>
    <t>nota de credito al 31.10</t>
  </si>
  <si>
    <t>kg</t>
  </si>
  <si>
    <t>NC F007-111</t>
  </si>
  <si>
    <t>F007-327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</si>
</sst>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#,##0.00;\(#,##0.00\)"/>
    <numFmt numFmtId="167" formatCode="#,##0_ ;\-#,##0\ "/>
    <numFmt numFmtId="168" formatCode="0.000"/>
    <numFmt numFmtId="169" formatCode="0.0"/>
    <numFmt numFmtId="171" formatCode="_-* #,##0.00000_-;\-* #,##0.00000_-;_-* &quot;-&quot;??_-;_-@_-"/>
    <numFmt numFmtId="180" formatCode="0.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ck">
        <color theme="3"/>
      </right>
      <top style="medium">
        <color indexed="64"/>
      </top>
      <bottom style="medium">
        <color indexed="64"/>
      </bottom>
      <diagonal/>
    </border>
    <border>
      <left style="thick">
        <color theme="3"/>
      </left>
      <right style="thick">
        <color theme="3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9" fontId="0" fillId="0" borderId="0" xfId="0" applyNumberFormat="1"/>
    <xf numFmtId="0" fontId="3" fillId="0" borderId="0" xfId="0" applyFont="1"/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4" borderId="0" xfId="1" applyNumberFormat="1" applyFont="1" applyFill="1"/>
    <xf numFmtId="14" fontId="0" fillId="0" borderId="0" xfId="0" applyNumberFormat="1"/>
    <xf numFmtId="0" fontId="3" fillId="5" borderId="1" xfId="0" applyFont="1" applyFill="1" applyBorder="1"/>
    <xf numFmtId="0" fontId="3" fillId="5" borderId="2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2" fillId="6" borderId="3" xfId="0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/>
    <xf numFmtId="165" fontId="0" fillId="0" borderId="0" xfId="1" applyNumberFormat="1" applyFont="1" applyFill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1" applyNumberFormat="1" applyFont="1"/>
    <xf numFmtId="43" fontId="0" fillId="0" borderId="0" xfId="1" applyFont="1" applyAlignment="1">
      <alignment horizontal="center"/>
    </xf>
    <xf numFmtId="43" fontId="0" fillId="0" borderId="0" xfId="0" applyNumberFormat="1"/>
    <xf numFmtId="166" fontId="0" fillId="0" borderId="0" xfId="0" applyNumberFormat="1"/>
    <xf numFmtId="43" fontId="2" fillId="7" borderId="8" xfId="1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wrapText="1"/>
    </xf>
    <xf numFmtId="0" fontId="5" fillId="9" borderId="11" xfId="0" applyFont="1" applyFill="1" applyBorder="1" applyAlignment="1">
      <alignment horizontal="center" wrapText="1"/>
    </xf>
    <xf numFmtId="0" fontId="0" fillId="5" borderId="12" xfId="0" applyFill="1" applyBorder="1" applyAlignment="1">
      <alignment horizontal="center" vertical="center"/>
    </xf>
    <xf numFmtId="0" fontId="0" fillId="5" borderId="12" xfId="0" applyFill="1" applyBorder="1"/>
    <xf numFmtId="2" fontId="0" fillId="5" borderId="12" xfId="0" applyNumberFormat="1" applyFill="1" applyBorder="1" applyAlignment="1">
      <alignment horizontal="center"/>
    </xf>
    <xf numFmtId="43" fontId="0" fillId="5" borderId="12" xfId="1" applyFont="1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14" fontId="0" fillId="5" borderId="12" xfId="0" applyNumberFormat="1" applyFill="1" applyBorder="1" applyAlignment="1">
      <alignment horizontal="left" vertical="center"/>
    </xf>
    <xf numFmtId="167" fontId="0" fillId="5" borderId="12" xfId="1" applyNumberFormat="1" applyFont="1" applyFill="1" applyBorder="1" applyAlignment="1">
      <alignment horizontal="center" vertical="center"/>
    </xf>
    <xf numFmtId="43" fontId="0" fillId="5" borderId="12" xfId="0" applyNumberFormat="1" applyFill="1" applyBorder="1"/>
    <xf numFmtId="43" fontId="0" fillId="5" borderId="12" xfId="1" applyFont="1" applyFill="1" applyBorder="1"/>
    <xf numFmtId="168" fontId="0" fillId="5" borderId="12" xfId="0" applyNumberFormat="1" applyFill="1" applyBorder="1"/>
    <xf numFmtId="165" fontId="0" fillId="5" borderId="12" xfId="0" applyNumberFormat="1" applyFill="1" applyBorder="1"/>
    <xf numFmtId="166" fontId="0" fillId="5" borderId="12" xfId="1" applyNumberFormat="1" applyFont="1" applyFill="1" applyBorder="1"/>
    <xf numFmtId="0" fontId="0" fillId="5" borderId="13" xfId="0" applyFill="1" applyBorder="1"/>
    <xf numFmtId="14" fontId="0" fillId="5" borderId="12" xfId="0" applyNumberFormat="1" applyFill="1" applyBorder="1"/>
    <xf numFmtId="164" fontId="0" fillId="5" borderId="12" xfId="1" applyNumberFormat="1" applyFont="1" applyFill="1" applyBorder="1"/>
    <xf numFmtId="43" fontId="0" fillId="0" borderId="0" xfId="1" applyFont="1"/>
    <xf numFmtId="169" fontId="0" fillId="0" borderId="0" xfId="0" applyNumberFormat="1"/>
    <xf numFmtId="164" fontId="0" fillId="0" borderId="0" xfId="0" applyNumberFormat="1"/>
    <xf numFmtId="0" fontId="0" fillId="10" borderId="12" xfId="0" applyFill="1" applyBorder="1" applyAlignment="1">
      <alignment vertical="center"/>
    </xf>
    <xf numFmtId="14" fontId="0" fillId="0" borderId="0" xfId="0" applyNumberFormat="1" applyAlignment="1">
      <alignment horizontal="right"/>
    </xf>
    <xf numFmtId="22" fontId="0" fillId="0" borderId="0" xfId="0" applyNumberFormat="1" applyAlignment="1">
      <alignment horizontal="right"/>
    </xf>
    <xf numFmtId="21" fontId="0" fillId="0" borderId="0" xfId="0" applyNumberFormat="1" applyAlignment="1">
      <alignment horizontal="right"/>
    </xf>
    <xf numFmtId="43" fontId="0" fillId="11" borderId="0" xfId="0" applyNumberFormat="1" applyFill="1"/>
    <xf numFmtId="43" fontId="0" fillId="11" borderId="12" xfId="0" applyNumberFormat="1" applyFill="1" applyBorder="1"/>
    <xf numFmtId="43" fontId="0" fillId="11" borderId="12" xfId="1" applyFont="1" applyFill="1" applyBorder="1"/>
    <xf numFmtId="166" fontId="0" fillId="11" borderId="12" xfId="1" applyNumberFormat="1" applyFont="1" applyFill="1" applyBorder="1"/>
    <xf numFmtId="0" fontId="6" fillId="0" borderId="0" xfId="0" applyFont="1"/>
    <xf numFmtId="9" fontId="6" fillId="0" borderId="0" xfId="0" applyNumberFormat="1" applyFont="1"/>
    <xf numFmtId="0" fontId="7" fillId="0" borderId="0" xfId="0" applyFont="1"/>
    <xf numFmtId="43" fontId="6" fillId="2" borderId="0" xfId="1" applyFont="1" applyFill="1"/>
    <xf numFmtId="43" fontId="6" fillId="2" borderId="0" xfId="0" applyNumberFormat="1" applyFont="1" applyFill="1"/>
    <xf numFmtId="43" fontId="6" fillId="3" borderId="0" xfId="1" applyFont="1" applyFill="1"/>
    <xf numFmtId="0" fontId="8" fillId="0" borderId="0" xfId="0" applyFont="1"/>
    <xf numFmtId="43" fontId="8" fillId="0" borderId="0" xfId="0" applyNumberFormat="1" applyFont="1"/>
    <xf numFmtId="43" fontId="6" fillId="0" borderId="0" xfId="1" applyFont="1"/>
    <xf numFmtId="43" fontId="7" fillId="0" borderId="0" xfId="1" applyFont="1"/>
    <xf numFmtId="43" fontId="6" fillId="11" borderId="0" xfId="1" applyFont="1" applyFill="1"/>
    <xf numFmtId="43" fontId="6" fillId="0" borderId="0" xfId="0" applyNumberFormat="1" applyFont="1"/>
    <xf numFmtId="43" fontId="6" fillId="12" borderId="0" xfId="0" applyNumberFormat="1" applyFont="1" applyFill="1"/>
    <xf numFmtId="43" fontId="3" fillId="0" borderId="0" xfId="1" applyNumberFormat="1" applyFont="1" applyAlignment="1">
      <alignment horizontal="center"/>
    </xf>
    <xf numFmtId="43" fontId="0" fillId="0" borderId="0" xfId="1" applyNumberFormat="1" applyFont="1"/>
    <xf numFmtId="0" fontId="0" fillId="0" borderId="0" xfId="0" applyAlignment="1">
      <alignment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3" fontId="3" fillId="0" borderId="0" xfId="0" applyNumberFormat="1" applyFont="1"/>
    <xf numFmtId="171" fontId="0" fillId="0" borderId="0" xfId="0" applyNumberFormat="1"/>
    <xf numFmtId="180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58674</xdr:colOff>
      <xdr:row>56</xdr:row>
      <xdr:rowOff>44434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181B11-EC6F-BE23-54EB-8F7010974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58674</xdr:colOff>
      <xdr:row>56</xdr:row>
      <xdr:rowOff>44434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E91914-1792-9F20-9B2D-F1CAAD4B0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9C355-E45B-4857-ADA2-07F8684C0D36}">
  <dimension ref="A1:P38"/>
  <sheetViews>
    <sheetView showGridLines="0" workbookViewId="0">
      <selection activeCell="H11" sqref="H11"/>
    </sheetView>
  </sheetViews>
  <sheetFormatPr baseColWidth="10" defaultRowHeight="12" customHeight="1" x14ac:dyDescent="0.3"/>
  <cols>
    <col min="1" max="1" width="5.77734375" style="55" customWidth="1"/>
    <col min="2" max="3" width="11.5546875" style="55"/>
    <col min="4" max="5" width="12.77734375" style="55" bestFit="1" customWidth="1"/>
    <col min="6" max="6" width="11.5546875" style="55"/>
    <col min="7" max="7" width="12.77734375" style="55" customWidth="1"/>
    <col min="8" max="10" width="11.5546875" style="55"/>
    <col min="11" max="11" width="12.77734375" style="55" bestFit="1" customWidth="1"/>
    <col min="12" max="13" width="11.5546875" style="55"/>
    <col min="14" max="15" width="12.77734375" style="55" bestFit="1" customWidth="1"/>
    <col min="16" max="16384" width="11.5546875" style="55"/>
  </cols>
  <sheetData>
    <row r="1" spans="1:15" ht="12" customHeight="1" x14ac:dyDescent="0.3">
      <c r="B1" s="55">
        <v>2384</v>
      </c>
      <c r="C1" s="56">
        <v>1</v>
      </c>
    </row>
    <row r="2" spans="1:15" ht="12" customHeight="1" x14ac:dyDescent="0.3">
      <c r="B2" s="55">
        <v>2084</v>
      </c>
      <c r="C2" s="56">
        <v>0.9</v>
      </c>
    </row>
    <row r="3" spans="1:15" ht="12" customHeight="1" x14ac:dyDescent="0.3">
      <c r="G3" s="57" t="s">
        <v>149</v>
      </c>
      <c r="H3" s="57" t="s">
        <v>127</v>
      </c>
      <c r="I3" s="57"/>
      <c r="L3" s="57" t="s">
        <v>150</v>
      </c>
    </row>
    <row r="4" spans="1:15" ht="12" customHeight="1" x14ac:dyDescent="0.3">
      <c r="A4" s="57" t="s">
        <v>148</v>
      </c>
      <c r="B4" s="57" t="s">
        <v>0</v>
      </c>
      <c r="C4" s="57"/>
      <c r="I4" s="55" t="s">
        <v>1</v>
      </c>
      <c r="J4" s="55" t="s">
        <v>2</v>
      </c>
      <c r="N4" s="55" t="s">
        <v>1</v>
      </c>
      <c r="O4" s="55" t="s">
        <v>2</v>
      </c>
    </row>
    <row r="5" spans="1:15" ht="12" customHeight="1" x14ac:dyDescent="0.3">
      <c r="D5" s="55" t="s">
        <v>1</v>
      </c>
      <c r="E5" s="55" t="s">
        <v>2</v>
      </c>
      <c r="G5" s="55" t="s">
        <v>4</v>
      </c>
      <c r="H5" s="55" t="s">
        <v>128</v>
      </c>
      <c r="J5" s="58">
        <v>231600</v>
      </c>
      <c r="L5" s="55" t="s">
        <v>129</v>
      </c>
      <c r="N5" s="59">
        <f>+D6-J5</f>
        <v>2084400</v>
      </c>
    </row>
    <row r="6" spans="1:15" ht="12" customHeight="1" x14ac:dyDescent="0.3">
      <c r="B6" s="55" t="s">
        <v>129</v>
      </c>
      <c r="D6" s="58">
        <v>2316000</v>
      </c>
      <c r="H6" s="55" t="s">
        <v>131</v>
      </c>
      <c r="I6" s="60">
        <v>231600</v>
      </c>
      <c r="L6" s="61" t="s">
        <v>132</v>
      </c>
      <c r="M6" s="61"/>
      <c r="N6" s="61"/>
      <c r="O6" s="62">
        <f>+E7-I6</f>
        <v>2084400</v>
      </c>
    </row>
    <row r="7" spans="1:15" ht="12" customHeight="1" x14ac:dyDescent="0.3">
      <c r="B7" s="55" t="s">
        <v>130</v>
      </c>
      <c r="E7" s="60">
        <v>2316000</v>
      </c>
    </row>
    <row r="9" spans="1:15" ht="12" customHeight="1" x14ac:dyDescent="0.3">
      <c r="A9" s="57" t="s">
        <v>151</v>
      </c>
      <c r="B9" s="57" t="s">
        <v>3</v>
      </c>
      <c r="C9" s="57"/>
    </row>
    <row r="10" spans="1:15" ht="12" customHeight="1" x14ac:dyDescent="0.3">
      <c r="B10" s="55">
        <v>12</v>
      </c>
      <c r="E10" s="58">
        <v>2084400</v>
      </c>
    </row>
    <row r="11" spans="1:15" ht="12" customHeight="1" x14ac:dyDescent="0.3">
      <c r="B11" s="55">
        <v>10</v>
      </c>
      <c r="D11" s="63">
        <v>2084400</v>
      </c>
    </row>
    <row r="13" spans="1:15" ht="12" customHeight="1" x14ac:dyDescent="0.3">
      <c r="A13" s="57" t="s">
        <v>152</v>
      </c>
      <c r="B13" s="57" t="s">
        <v>133</v>
      </c>
    </row>
    <row r="14" spans="1:15" ht="12" customHeight="1" x14ac:dyDescent="0.3">
      <c r="B14" s="55">
        <v>70</v>
      </c>
      <c r="E14" s="63">
        <v>409500</v>
      </c>
    </row>
    <row r="15" spans="1:15" ht="12" customHeight="1" x14ac:dyDescent="0.3">
      <c r="B15" s="55">
        <v>12</v>
      </c>
      <c r="D15" s="63">
        <v>409500</v>
      </c>
    </row>
    <row r="17" spans="1:15" ht="12" customHeight="1" x14ac:dyDescent="0.3">
      <c r="A17" s="57" t="s">
        <v>153</v>
      </c>
      <c r="B17" s="57" t="s">
        <v>139</v>
      </c>
      <c r="C17" s="57"/>
      <c r="D17" s="57"/>
      <c r="E17" s="57"/>
      <c r="F17" s="57"/>
      <c r="G17" s="64">
        <f>0.9*324240</f>
        <v>291816</v>
      </c>
    </row>
    <row r="18" spans="1:15" ht="12" customHeight="1" x14ac:dyDescent="0.3">
      <c r="J18" s="55" t="s">
        <v>1</v>
      </c>
      <c r="K18" s="55" t="s">
        <v>2</v>
      </c>
    </row>
    <row r="19" spans="1:15" ht="12" customHeight="1" x14ac:dyDescent="0.3">
      <c r="B19" s="55" t="s">
        <v>136</v>
      </c>
      <c r="C19" s="55" t="s">
        <v>135</v>
      </c>
      <c r="E19" s="65">
        <v>291816</v>
      </c>
      <c r="H19" s="55" t="s">
        <v>137</v>
      </c>
      <c r="J19" s="66"/>
      <c r="K19" s="66">
        <f>+O6-D20</f>
        <v>1792584</v>
      </c>
    </row>
    <row r="20" spans="1:15" ht="12" customHeight="1" x14ac:dyDescent="0.3">
      <c r="B20" s="55" t="s">
        <v>129</v>
      </c>
      <c r="D20" s="63">
        <v>291816</v>
      </c>
    </row>
    <row r="22" spans="1:15" ht="12" customHeight="1" x14ac:dyDescent="0.3">
      <c r="A22" s="57" t="s">
        <v>154</v>
      </c>
      <c r="B22" s="57" t="s">
        <v>138</v>
      </c>
      <c r="C22" s="57"/>
      <c r="D22" s="57"/>
    </row>
    <row r="23" spans="1:15" ht="12" customHeight="1" x14ac:dyDescent="0.3">
      <c r="B23" s="55" t="s">
        <v>136</v>
      </c>
      <c r="D23" s="65">
        <v>291816</v>
      </c>
    </row>
    <row r="24" spans="1:15" ht="12" customHeight="1" x14ac:dyDescent="0.3">
      <c r="B24" s="55" t="s">
        <v>140</v>
      </c>
      <c r="E24" s="66">
        <f>+D23</f>
        <v>291816</v>
      </c>
    </row>
    <row r="26" spans="1:15" ht="12" customHeight="1" x14ac:dyDescent="0.3">
      <c r="A26" s="57" t="s">
        <v>155</v>
      </c>
      <c r="B26" s="57" t="s">
        <v>142</v>
      </c>
      <c r="C26" s="57"/>
      <c r="D26" s="57"/>
      <c r="E26" s="57"/>
      <c r="N26" s="66"/>
    </row>
    <row r="27" spans="1:15" ht="12" customHeight="1" x14ac:dyDescent="0.3">
      <c r="B27" s="55">
        <v>10</v>
      </c>
      <c r="D27" s="63">
        <v>105911.45</v>
      </c>
      <c r="I27" s="66"/>
      <c r="M27" s="66"/>
      <c r="N27" s="66"/>
    </row>
    <row r="28" spans="1:15" ht="12" customHeight="1" x14ac:dyDescent="0.3">
      <c r="B28" s="55">
        <v>12</v>
      </c>
      <c r="C28" s="55" t="s">
        <v>143</v>
      </c>
      <c r="E28" s="63">
        <v>7030</v>
      </c>
      <c r="M28" s="66"/>
    </row>
    <row r="29" spans="1:15" ht="12" customHeight="1" x14ac:dyDescent="0.3">
      <c r="B29" s="55">
        <v>12</v>
      </c>
      <c r="C29" s="55" t="s">
        <v>144</v>
      </c>
      <c r="E29" s="63">
        <f>+'FFR10'!N18</f>
        <v>2478</v>
      </c>
      <c r="J29" s="66">
        <f>+E28+E29+E30+I30</f>
        <v>85260</v>
      </c>
      <c r="M29" s="66"/>
      <c r="N29" s="66"/>
      <c r="O29" s="66"/>
    </row>
    <row r="30" spans="1:15" ht="12" customHeight="1" x14ac:dyDescent="0.3">
      <c r="B30" s="55">
        <v>12</v>
      </c>
      <c r="C30" s="55" t="s">
        <v>145</v>
      </c>
      <c r="E30" s="63">
        <f>+'FFR10'!X18</f>
        <v>68176.800000000003</v>
      </c>
      <c r="H30" s="66">
        <f>+E28+E29+E30</f>
        <v>77684.800000000003</v>
      </c>
      <c r="I30" s="63">
        <f>+'FFR10'!W18</f>
        <v>7575.2000000000007</v>
      </c>
      <c r="J30" s="67">
        <f>+H30+I30</f>
        <v>85260</v>
      </c>
      <c r="M30" s="66"/>
      <c r="N30" s="66"/>
      <c r="O30" s="66"/>
    </row>
    <row r="31" spans="1:15" ht="12" customHeight="1" x14ac:dyDescent="0.3">
      <c r="B31" s="55">
        <v>12</v>
      </c>
      <c r="C31" s="55" t="s">
        <v>146</v>
      </c>
      <c r="D31" s="66">
        <f>-'FFR10'!AC18</f>
        <v>4197.3534246575346</v>
      </c>
    </row>
    <row r="32" spans="1:15" ht="12" customHeight="1" x14ac:dyDescent="0.3">
      <c r="B32" s="55">
        <v>46</v>
      </c>
      <c r="E32" s="66">
        <f>+'FFR10'!C18</f>
        <v>32424</v>
      </c>
    </row>
    <row r="33" spans="1:16" ht="12" customHeight="1" x14ac:dyDescent="0.3">
      <c r="C33" s="55" t="s">
        <v>147</v>
      </c>
      <c r="D33" s="66">
        <f>SUM(D27:D32)</f>
        <v>110108.80342465753</v>
      </c>
      <c r="E33" s="66">
        <f>SUM(E27:E32)</f>
        <v>110108.8</v>
      </c>
      <c r="N33" s="66"/>
    </row>
    <row r="34" spans="1:16" ht="12" customHeight="1" x14ac:dyDescent="0.3">
      <c r="M34" s="66"/>
    </row>
    <row r="35" spans="1:16" ht="12" customHeight="1" x14ac:dyDescent="0.3">
      <c r="A35" s="57" t="s">
        <v>156</v>
      </c>
      <c r="B35" s="57" t="s">
        <v>141</v>
      </c>
      <c r="G35" s="63">
        <f>409500*90%</f>
        <v>368550</v>
      </c>
    </row>
    <row r="36" spans="1:16" ht="12" customHeight="1" x14ac:dyDescent="0.3">
      <c r="B36" s="55">
        <v>46</v>
      </c>
      <c r="D36" s="66">
        <f>+E32+E24</f>
        <v>324240</v>
      </c>
      <c r="M36" s="66">
        <f>SUM(M34:M35)</f>
        <v>0</v>
      </c>
      <c r="N36" s="66">
        <f>SUM(N33:N35)</f>
        <v>0</v>
      </c>
      <c r="O36" s="66">
        <f>+N36-M36</f>
        <v>0</v>
      </c>
      <c r="P36" s="66">
        <f>+J30-O36</f>
        <v>85260</v>
      </c>
    </row>
    <row r="37" spans="1:16" ht="12" customHeight="1" x14ac:dyDescent="0.3">
      <c r="B37" s="55">
        <v>10</v>
      </c>
      <c r="E37" s="66">
        <v>409500</v>
      </c>
    </row>
    <row r="38" spans="1:16" ht="12" customHeight="1" x14ac:dyDescent="0.3">
      <c r="B38" s="55">
        <v>42</v>
      </c>
      <c r="D38" s="67">
        <f>+E37-D36</f>
        <v>85260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FB43D-1C9D-43B9-8A22-7B5A92ED492D}">
  <dimension ref="A1"/>
  <sheetViews>
    <sheetView topLeftCell="A13"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E3F56-767A-4F17-8130-C53819F7494A}">
  <dimension ref="A1"/>
  <sheetViews>
    <sheetView topLeftCell="A22"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25963-EB3D-430F-8BCF-F088F9C6030F}">
  <dimension ref="A1:AO11"/>
  <sheetViews>
    <sheetView workbookViewId="0">
      <selection activeCell="O2" sqref="O2:O10"/>
    </sheetView>
  </sheetViews>
  <sheetFormatPr baseColWidth="10" defaultRowHeight="14.4" x14ac:dyDescent="0.3"/>
  <cols>
    <col min="15" max="15" width="15.33203125" customWidth="1"/>
  </cols>
  <sheetData>
    <row r="1" spans="1:41" x14ac:dyDescent="0.3">
      <c r="A1" t="s">
        <v>62</v>
      </c>
      <c r="B1" t="s">
        <v>63</v>
      </c>
      <c r="C1" t="s">
        <v>64</v>
      </c>
      <c r="D1" t="s">
        <v>65</v>
      </c>
      <c r="E1" t="s">
        <v>66</v>
      </c>
      <c r="F1" t="s">
        <v>67</v>
      </c>
      <c r="G1" t="s">
        <v>68</v>
      </c>
      <c r="H1" t="s">
        <v>69</v>
      </c>
      <c r="I1" t="s">
        <v>70</v>
      </c>
      <c r="J1" t="s">
        <v>71</v>
      </c>
      <c r="K1" t="s">
        <v>72</v>
      </c>
      <c r="L1" t="s">
        <v>73</v>
      </c>
      <c r="M1" t="s">
        <v>74</v>
      </c>
      <c r="N1" t="s">
        <v>75</v>
      </c>
      <c r="O1" t="s">
        <v>76</v>
      </c>
      <c r="P1" s="6" t="s">
        <v>77</v>
      </c>
      <c r="Q1" t="s">
        <v>78</v>
      </c>
      <c r="R1" t="s">
        <v>79</v>
      </c>
      <c r="S1" t="s">
        <v>80</v>
      </c>
      <c r="T1" t="s">
        <v>81</v>
      </c>
      <c r="U1" t="s">
        <v>82</v>
      </c>
      <c r="V1" t="s">
        <v>83</v>
      </c>
      <c r="W1" t="s">
        <v>84</v>
      </c>
      <c r="X1" t="s">
        <v>85</v>
      </c>
      <c r="Y1" t="s">
        <v>86</v>
      </c>
      <c r="Z1" t="s">
        <v>87</v>
      </c>
      <c r="AA1" t="s">
        <v>88</v>
      </c>
      <c r="AB1" t="s">
        <v>89</v>
      </c>
      <c r="AC1" t="s">
        <v>90</v>
      </c>
      <c r="AD1" t="s">
        <v>91</v>
      </c>
      <c r="AE1" t="s">
        <v>92</v>
      </c>
      <c r="AF1" t="s">
        <v>93</v>
      </c>
      <c r="AG1" t="s">
        <v>94</v>
      </c>
      <c r="AH1" t="s">
        <v>95</v>
      </c>
      <c r="AI1" t="s">
        <v>96</v>
      </c>
      <c r="AJ1" t="s">
        <v>97</v>
      </c>
      <c r="AK1" t="s">
        <v>98</v>
      </c>
      <c r="AL1" t="s">
        <v>99</v>
      </c>
      <c r="AM1" t="s">
        <v>100</v>
      </c>
      <c r="AN1" t="s">
        <v>101</v>
      </c>
      <c r="AO1" t="s">
        <v>102</v>
      </c>
    </row>
    <row r="2" spans="1:41" x14ac:dyDescent="0.3">
      <c r="A2" t="s">
        <v>103</v>
      </c>
      <c r="B2" t="s">
        <v>104</v>
      </c>
      <c r="C2" t="s">
        <v>105</v>
      </c>
      <c r="D2" t="s">
        <v>106</v>
      </c>
      <c r="E2">
        <v>4</v>
      </c>
      <c r="F2" t="s">
        <v>107</v>
      </c>
      <c r="G2" t="s">
        <v>108</v>
      </c>
      <c r="H2" t="s">
        <v>109</v>
      </c>
      <c r="I2" t="s">
        <v>110</v>
      </c>
      <c r="J2">
        <v>0</v>
      </c>
      <c r="K2" s="44">
        <v>407267</v>
      </c>
      <c r="L2" s="44">
        <v>-407267</v>
      </c>
      <c r="M2" t="s">
        <v>111</v>
      </c>
      <c r="N2">
        <v>3.8380000000000001</v>
      </c>
      <c r="O2" s="44">
        <v>407267</v>
      </c>
      <c r="P2" s="48">
        <v>44681</v>
      </c>
      <c r="Q2" t="s">
        <v>112</v>
      </c>
      <c r="R2" t="s">
        <v>113</v>
      </c>
      <c r="S2" t="s">
        <v>114</v>
      </c>
      <c r="T2" t="s">
        <v>115</v>
      </c>
      <c r="U2" t="s">
        <v>116</v>
      </c>
      <c r="AD2" t="s">
        <v>117</v>
      </c>
      <c r="AG2" t="s">
        <v>118</v>
      </c>
      <c r="AM2" s="49">
        <v>44684.887333078703</v>
      </c>
      <c r="AN2" s="48">
        <v>44684</v>
      </c>
      <c r="AO2" s="50">
        <v>0.88732638888888882</v>
      </c>
    </row>
    <row r="3" spans="1:41" x14ac:dyDescent="0.3">
      <c r="A3" t="s">
        <v>103</v>
      </c>
      <c r="B3" t="s">
        <v>104</v>
      </c>
      <c r="C3" t="s">
        <v>105</v>
      </c>
      <c r="D3" t="s">
        <v>106</v>
      </c>
      <c r="E3">
        <v>4</v>
      </c>
      <c r="F3" t="s">
        <v>107</v>
      </c>
      <c r="G3" t="s">
        <v>108</v>
      </c>
      <c r="H3" t="s">
        <v>109</v>
      </c>
      <c r="I3" t="s">
        <v>110</v>
      </c>
      <c r="J3">
        <v>0</v>
      </c>
      <c r="K3" s="44">
        <v>504918.53</v>
      </c>
      <c r="L3" s="44">
        <v>-504918.53</v>
      </c>
      <c r="M3" t="s">
        <v>111</v>
      </c>
      <c r="N3">
        <v>3.8380000000000001</v>
      </c>
      <c r="O3" s="44">
        <v>504918.53</v>
      </c>
      <c r="P3" s="48">
        <v>44681</v>
      </c>
      <c r="Q3" t="s">
        <v>112</v>
      </c>
      <c r="R3" t="s">
        <v>113</v>
      </c>
      <c r="S3" t="s">
        <v>114</v>
      </c>
      <c r="T3" t="s">
        <v>115</v>
      </c>
      <c r="U3" t="s">
        <v>119</v>
      </c>
      <c r="AD3" t="s">
        <v>117</v>
      </c>
      <c r="AG3" t="s">
        <v>118</v>
      </c>
      <c r="AM3" s="49">
        <v>44684.887333078703</v>
      </c>
      <c r="AN3" s="48">
        <v>44684</v>
      </c>
      <c r="AO3" s="50">
        <v>0.88732638888888882</v>
      </c>
    </row>
    <row r="4" spans="1:41" x14ac:dyDescent="0.3">
      <c r="A4" t="s">
        <v>103</v>
      </c>
      <c r="B4" t="s">
        <v>104</v>
      </c>
      <c r="C4" t="s">
        <v>105</v>
      </c>
      <c r="D4" t="s">
        <v>106</v>
      </c>
      <c r="E4">
        <v>4</v>
      </c>
      <c r="F4" t="s">
        <v>107</v>
      </c>
      <c r="G4" t="s">
        <v>108</v>
      </c>
      <c r="H4" t="s">
        <v>109</v>
      </c>
      <c r="I4" t="s">
        <v>110</v>
      </c>
      <c r="J4">
        <v>0</v>
      </c>
      <c r="K4" s="44">
        <v>100026.7</v>
      </c>
      <c r="L4" s="44">
        <v>-100026.7</v>
      </c>
      <c r="M4" t="s">
        <v>111</v>
      </c>
      <c r="N4">
        <v>3.8380000000000001</v>
      </c>
      <c r="O4" s="44">
        <v>100026.7</v>
      </c>
      <c r="P4" s="48">
        <v>44681</v>
      </c>
      <c r="Q4" t="s">
        <v>112</v>
      </c>
      <c r="R4" t="s">
        <v>113</v>
      </c>
      <c r="S4" t="s">
        <v>114</v>
      </c>
      <c r="T4" t="s">
        <v>115</v>
      </c>
      <c r="U4" t="s">
        <v>120</v>
      </c>
      <c r="AD4" t="s">
        <v>117</v>
      </c>
      <c r="AG4" t="s">
        <v>118</v>
      </c>
      <c r="AM4" s="49">
        <v>44684.887333078703</v>
      </c>
      <c r="AN4" s="48">
        <v>44684</v>
      </c>
      <c r="AO4" s="50">
        <v>0.88732638888888882</v>
      </c>
    </row>
    <row r="5" spans="1:41" x14ac:dyDescent="0.3">
      <c r="A5" t="s">
        <v>103</v>
      </c>
      <c r="B5" t="s">
        <v>104</v>
      </c>
      <c r="C5" t="s">
        <v>105</v>
      </c>
      <c r="D5" t="s">
        <v>106</v>
      </c>
      <c r="E5">
        <v>4</v>
      </c>
      <c r="F5" t="s">
        <v>107</v>
      </c>
      <c r="G5" t="s">
        <v>108</v>
      </c>
      <c r="H5" t="s">
        <v>109</v>
      </c>
      <c r="I5" t="s">
        <v>110</v>
      </c>
      <c r="J5">
        <v>0</v>
      </c>
      <c r="K5" s="44">
        <v>1504683</v>
      </c>
      <c r="L5" s="44">
        <v>-1504683</v>
      </c>
      <c r="M5" t="s">
        <v>111</v>
      </c>
      <c r="N5">
        <v>3.8380000000000001</v>
      </c>
      <c r="O5" s="44">
        <v>1504683</v>
      </c>
      <c r="P5" s="48">
        <v>44681</v>
      </c>
      <c r="Q5" t="s">
        <v>112</v>
      </c>
      <c r="R5" t="s">
        <v>113</v>
      </c>
      <c r="S5" t="s">
        <v>114</v>
      </c>
      <c r="T5" t="s">
        <v>115</v>
      </c>
      <c r="U5" t="s">
        <v>121</v>
      </c>
      <c r="AD5" t="s">
        <v>117</v>
      </c>
      <c r="AG5" t="s">
        <v>118</v>
      </c>
      <c r="AM5" s="49">
        <v>44684.887333078703</v>
      </c>
      <c r="AN5" s="48">
        <v>44684</v>
      </c>
      <c r="AO5" s="50">
        <v>0.88732638888888882</v>
      </c>
    </row>
    <row r="6" spans="1:41" x14ac:dyDescent="0.3">
      <c r="A6" t="s">
        <v>103</v>
      </c>
      <c r="B6" t="s">
        <v>104</v>
      </c>
      <c r="C6" t="s">
        <v>105</v>
      </c>
      <c r="D6" t="s">
        <v>106</v>
      </c>
      <c r="E6">
        <v>4</v>
      </c>
      <c r="F6" t="s">
        <v>107</v>
      </c>
      <c r="G6" t="s">
        <v>108</v>
      </c>
      <c r="H6" t="s">
        <v>109</v>
      </c>
      <c r="I6" t="s">
        <v>110</v>
      </c>
      <c r="J6">
        <v>0</v>
      </c>
      <c r="K6" s="44">
        <v>420487</v>
      </c>
      <c r="L6" s="44">
        <v>-420487</v>
      </c>
      <c r="M6" t="s">
        <v>111</v>
      </c>
      <c r="N6">
        <v>3.8380000000000001</v>
      </c>
      <c r="O6" s="44">
        <v>420487</v>
      </c>
      <c r="P6" s="48">
        <v>44681</v>
      </c>
      <c r="Q6" t="s">
        <v>112</v>
      </c>
      <c r="R6" t="s">
        <v>113</v>
      </c>
      <c r="S6" t="s">
        <v>114</v>
      </c>
      <c r="T6" t="s">
        <v>115</v>
      </c>
      <c r="U6" t="s">
        <v>122</v>
      </c>
      <c r="AD6" t="s">
        <v>117</v>
      </c>
      <c r="AG6" t="s">
        <v>118</v>
      </c>
      <c r="AM6" s="49">
        <v>44684.887333078703</v>
      </c>
      <c r="AN6" s="48">
        <v>44684</v>
      </c>
      <c r="AO6" s="50">
        <v>0.88732638888888882</v>
      </c>
    </row>
    <row r="7" spans="1:41" x14ac:dyDescent="0.3">
      <c r="A7" t="s">
        <v>103</v>
      </c>
      <c r="B7" t="s">
        <v>104</v>
      </c>
      <c r="C7" t="s">
        <v>105</v>
      </c>
      <c r="D7" t="s">
        <v>106</v>
      </c>
      <c r="E7">
        <v>4</v>
      </c>
      <c r="F7" t="s">
        <v>107</v>
      </c>
      <c r="G7" t="s">
        <v>108</v>
      </c>
      <c r="H7" t="s">
        <v>109</v>
      </c>
      <c r="I7" t="s">
        <v>110</v>
      </c>
      <c r="J7">
        <v>0</v>
      </c>
      <c r="K7" s="44">
        <v>225217.35</v>
      </c>
      <c r="L7" s="44">
        <v>-225217.35</v>
      </c>
      <c r="M7" t="s">
        <v>111</v>
      </c>
      <c r="N7">
        <v>3.8380000000000001</v>
      </c>
      <c r="O7" s="44">
        <v>225217.35</v>
      </c>
      <c r="P7" s="48">
        <v>44681</v>
      </c>
      <c r="Q7" t="s">
        <v>112</v>
      </c>
      <c r="R7" t="s">
        <v>113</v>
      </c>
      <c r="S7" t="s">
        <v>114</v>
      </c>
      <c r="T7" t="s">
        <v>115</v>
      </c>
      <c r="U7" t="s">
        <v>123</v>
      </c>
      <c r="AD7" t="s">
        <v>117</v>
      </c>
      <c r="AG7" t="s">
        <v>118</v>
      </c>
      <c r="AM7" s="49">
        <v>44684.887333078703</v>
      </c>
      <c r="AN7" s="48">
        <v>44684</v>
      </c>
      <c r="AO7" s="50">
        <v>0.88732638888888882</v>
      </c>
    </row>
    <row r="8" spans="1:41" x14ac:dyDescent="0.3">
      <c r="A8" t="s">
        <v>103</v>
      </c>
      <c r="B8" t="s">
        <v>104</v>
      </c>
      <c r="C8" t="s">
        <v>105</v>
      </c>
      <c r="D8" t="s">
        <v>106</v>
      </c>
      <c r="E8">
        <v>4</v>
      </c>
      <c r="F8" t="s">
        <v>107</v>
      </c>
      <c r="G8" t="s">
        <v>108</v>
      </c>
      <c r="H8" t="s">
        <v>109</v>
      </c>
      <c r="I8" t="s">
        <v>110</v>
      </c>
      <c r="J8">
        <v>0</v>
      </c>
      <c r="K8" s="44">
        <v>160322.87</v>
      </c>
      <c r="L8" s="44">
        <v>-160322.87</v>
      </c>
      <c r="M8" t="s">
        <v>111</v>
      </c>
      <c r="N8">
        <v>3.8380000000000001</v>
      </c>
      <c r="O8" s="44">
        <v>160322.87</v>
      </c>
      <c r="P8" s="48">
        <v>44681</v>
      </c>
      <c r="Q8" t="s">
        <v>112</v>
      </c>
      <c r="R8" t="s">
        <v>113</v>
      </c>
      <c r="S8" t="s">
        <v>114</v>
      </c>
      <c r="T8" t="s">
        <v>115</v>
      </c>
      <c r="U8" t="s">
        <v>124</v>
      </c>
      <c r="AD8" t="s">
        <v>117</v>
      </c>
      <c r="AG8" t="s">
        <v>118</v>
      </c>
      <c r="AM8" s="49">
        <v>44684.887333078703</v>
      </c>
      <c r="AN8" s="48">
        <v>44684</v>
      </c>
      <c r="AO8" s="50">
        <v>0.88732638888888882</v>
      </c>
    </row>
    <row r="9" spans="1:41" x14ac:dyDescent="0.3">
      <c r="A9" t="s">
        <v>103</v>
      </c>
      <c r="B9" t="s">
        <v>104</v>
      </c>
      <c r="C9" t="s">
        <v>105</v>
      </c>
      <c r="D9" t="s">
        <v>106</v>
      </c>
      <c r="E9">
        <v>4</v>
      </c>
      <c r="F9" t="s">
        <v>107</v>
      </c>
      <c r="G9" t="s">
        <v>108</v>
      </c>
      <c r="H9" t="s">
        <v>109</v>
      </c>
      <c r="I9" t="s">
        <v>110</v>
      </c>
      <c r="J9">
        <v>0</v>
      </c>
      <c r="K9" s="44">
        <v>425687</v>
      </c>
      <c r="L9" s="44">
        <v>-425687</v>
      </c>
      <c r="M9" t="s">
        <v>111</v>
      </c>
      <c r="N9">
        <v>3.8380000000000001</v>
      </c>
      <c r="O9" s="44">
        <v>425687</v>
      </c>
      <c r="P9" s="48">
        <v>44681</v>
      </c>
      <c r="Q9" t="s">
        <v>112</v>
      </c>
      <c r="R9" t="s">
        <v>113</v>
      </c>
      <c r="S9" t="s">
        <v>114</v>
      </c>
      <c r="T9" t="s">
        <v>115</v>
      </c>
      <c r="U9" t="s">
        <v>125</v>
      </c>
      <c r="AD9" t="s">
        <v>117</v>
      </c>
      <c r="AG9" t="s">
        <v>118</v>
      </c>
      <c r="AM9" s="49">
        <v>44684.887333078703</v>
      </c>
      <c r="AN9" s="48">
        <v>44684</v>
      </c>
      <c r="AO9" s="50">
        <v>0.88732638888888882</v>
      </c>
    </row>
    <row r="10" spans="1:41" x14ac:dyDescent="0.3">
      <c r="A10" t="s">
        <v>103</v>
      </c>
      <c r="B10" t="s">
        <v>104</v>
      </c>
      <c r="C10" t="s">
        <v>105</v>
      </c>
      <c r="D10" t="s">
        <v>106</v>
      </c>
      <c r="E10">
        <v>4</v>
      </c>
      <c r="F10" t="s">
        <v>107</v>
      </c>
      <c r="G10" t="s">
        <v>108</v>
      </c>
      <c r="H10" t="s">
        <v>109</v>
      </c>
      <c r="I10" t="s">
        <v>110</v>
      </c>
      <c r="J10">
        <v>0</v>
      </c>
      <c r="K10" s="44">
        <v>539007.30000000005</v>
      </c>
      <c r="L10" s="44">
        <v>-539007.30000000005</v>
      </c>
      <c r="M10" t="s">
        <v>111</v>
      </c>
      <c r="N10">
        <v>3.8380000000000001</v>
      </c>
      <c r="O10" s="44">
        <v>539007.30000000005</v>
      </c>
      <c r="P10" s="48">
        <v>44681</v>
      </c>
      <c r="Q10" t="s">
        <v>112</v>
      </c>
      <c r="R10" t="s">
        <v>113</v>
      </c>
      <c r="S10" t="s">
        <v>114</v>
      </c>
      <c r="T10" t="s">
        <v>115</v>
      </c>
      <c r="U10" t="s">
        <v>126</v>
      </c>
      <c r="AD10" t="s">
        <v>117</v>
      </c>
      <c r="AG10" t="s">
        <v>118</v>
      </c>
      <c r="AM10" s="49">
        <v>44684.887333078703</v>
      </c>
      <c r="AN10" s="48">
        <v>44684</v>
      </c>
      <c r="AO10" s="50">
        <v>0.88732638888888882</v>
      </c>
    </row>
    <row r="11" spans="1:41" x14ac:dyDescent="0.3">
      <c r="P11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DFE73-3512-4B19-AE97-4F2EB00E90FD}">
  <dimension ref="A3:D13"/>
  <sheetViews>
    <sheetView showGridLines="0" workbookViewId="0">
      <selection activeCell="A13" sqref="A13"/>
    </sheetView>
  </sheetViews>
  <sheetFormatPr baseColWidth="10" defaultRowHeight="14.4" x14ac:dyDescent="0.3"/>
  <cols>
    <col min="1" max="1" width="16.77734375" bestFit="1" customWidth="1"/>
    <col min="2" max="2" width="5.6640625" customWidth="1"/>
    <col min="3" max="4" width="12.77734375" style="44" bestFit="1" customWidth="1"/>
  </cols>
  <sheetData>
    <row r="3" spans="1:4" x14ac:dyDescent="0.3">
      <c r="A3" t="s">
        <v>157</v>
      </c>
      <c r="B3">
        <v>121</v>
      </c>
      <c r="C3" s="44">
        <v>1911600</v>
      </c>
    </row>
    <row r="4" spans="1:4" x14ac:dyDescent="0.3">
      <c r="B4">
        <v>122</v>
      </c>
      <c r="D4" s="44">
        <f>C3</f>
        <v>1911600</v>
      </c>
    </row>
    <row r="6" spans="1:4" x14ac:dyDescent="0.3">
      <c r="A6" t="s">
        <v>158</v>
      </c>
      <c r="B6">
        <v>121</v>
      </c>
      <c r="C6" s="44">
        <v>191160</v>
      </c>
    </row>
    <row r="7" spans="1:4" x14ac:dyDescent="0.3">
      <c r="B7" s="2">
        <v>122</v>
      </c>
      <c r="D7" s="44">
        <f>C6</f>
        <v>191160</v>
      </c>
    </row>
    <row r="9" spans="1:4" x14ac:dyDescent="0.3">
      <c r="A9" t="s">
        <v>159</v>
      </c>
      <c r="B9">
        <v>10</v>
      </c>
      <c r="C9" s="44">
        <f>C3-C6</f>
        <v>1720440</v>
      </c>
    </row>
    <row r="10" spans="1:4" x14ac:dyDescent="0.3">
      <c r="B10">
        <v>121</v>
      </c>
      <c r="D10" s="44">
        <f>C9</f>
        <v>1720440</v>
      </c>
    </row>
    <row r="12" spans="1:4" x14ac:dyDescent="0.3">
      <c r="A12" t="s">
        <v>157</v>
      </c>
      <c r="B12">
        <v>121</v>
      </c>
      <c r="C12" s="44">
        <f>C9+C6</f>
        <v>1911600</v>
      </c>
    </row>
    <row r="13" spans="1:4" x14ac:dyDescent="0.3">
      <c r="B13">
        <v>70</v>
      </c>
      <c r="D13" s="44">
        <f>C12</f>
        <v>1911600</v>
      </c>
    </row>
  </sheetData>
  <pageMargins left="0.7" right="0.7" top="0.75" bottom="0.75" header="0.3" footer="0.3"/>
  <pageSetup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06A2-61E0-4B83-8800-27A012230369}">
  <sheetPr>
    <tabColor theme="4" tint="0.59999389629810485"/>
  </sheetPr>
  <dimension ref="B3:AH44"/>
  <sheetViews>
    <sheetView showGridLines="0" topLeftCell="B2" zoomScale="80" zoomScaleNormal="80" workbookViewId="0">
      <selection activeCell="I29" sqref="I29"/>
    </sheetView>
  </sheetViews>
  <sheetFormatPr baseColWidth="10" defaultColWidth="10.88671875" defaultRowHeight="14.4" x14ac:dyDescent="0.3"/>
  <cols>
    <col min="1" max="1" width="0" hidden="1" customWidth="1"/>
    <col min="2" max="3" width="11.33203125" bestFit="1" customWidth="1"/>
    <col min="4" max="4" width="12.77734375" bestFit="1" customWidth="1"/>
    <col min="5" max="5" width="18.44140625" customWidth="1"/>
    <col min="6" max="6" width="12.109375" customWidth="1"/>
    <col min="7" max="7" width="16.33203125" customWidth="1"/>
    <col min="8" max="8" width="15.109375" customWidth="1"/>
    <col min="9" max="9" width="16.109375" customWidth="1"/>
    <col min="10" max="10" width="15.109375" customWidth="1"/>
    <col min="11" max="11" width="30.88671875" customWidth="1"/>
    <col min="12" max="12" width="12.44140625" customWidth="1"/>
    <col min="13" max="13" width="18" bestFit="1" customWidth="1"/>
    <col min="14" max="14" width="14.44140625" bestFit="1" customWidth="1"/>
    <col min="15" max="15" width="21.6640625" bestFit="1" customWidth="1"/>
    <col min="16" max="16" width="17.6640625" customWidth="1"/>
    <col min="19" max="19" width="14.44140625" customWidth="1"/>
    <col min="20" max="20" width="36" customWidth="1"/>
    <col min="22" max="22" width="12.6640625" customWidth="1"/>
    <col min="23" max="23" width="11.33203125" bestFit="1" customWidth="1"/>
    <col min="24" max="24" width="13.44140625" customWidth="1"/>
    <col min="25" max="25" width="15.44140625" customWidth="1"/>
    <col min="26" max="26" width="16.33203125" customWidth="1"/>
    <col min="28" max="28" width="13.44140625" bestFit="1" customWidth="1"/>
    <col min="30" max="30" width="29.109375" bestFit="1" customWidth="1"/>
    <col min="31" max="31" width="12.44140625" hidden="1" customWidth="1"/>
    <col min="32" max="32" width="13.88671875" hidden="1" customWidth="1"/>
    <col min="33" max="33" width="12.88671875" hidden="1" customWidth="1"/>
    <col min="34" max="34" width="21.21875" bestFit="1" customWidth="1"/>
  </cols>
  <sheetData>
    <row r="3" spans="2:34" ht="15" thickBot="1" x14ac:dyDescent="0.35">
      <c r="E3" s="2"/>
      <c r="F3" s="3"/>
      <c r="G3" s="4"/>
      <c r="H3" s="3">
        <f>+SUM(H5:H11)</f>
        <v>2316000</v>
      </c>
      <c r="I3" s="5">
        <f>+H3*0.9</f>
        <v>2084400</v>
      </c>
      <c r="J3" s="6">
        <v>44526</v>
      </c>
    </row>
    <row r="4" spans="2:34" ht="15" thickBot="1" x14ac:dyDescent="0.35">
      <c r="E4" s="7" t="s">
        <v>5</v>
      </c>
      <c r="F4" s="8" t="s">
        <v>6</v>
      </c>
      <c r="G4" s="8" t="s">
        <v>7</v>
      </c>
      <c r="H4" s="8" t="s">
        <v>8</v>
      </c>
      <c r="I4" s="9" t="s">
        <v>9</v>
      </c>
      <c r="J4" s="10" t="s">
        <v>10</v>
      </c>
      <c r="K4" s="10" t="s">
        <v>11</v>
      </c>
    </row>
    <row r="5" spans="2:34" x14ac:dyDescent="0.3">
      <c r="E5" t="s">
        <v>12</v>
      </c>
      <c r="F5" s="11">
        <v>150000</v>
      </c>
      <c r="G5" s="12">
        <v>15.44</v>
      </c>
      <c r="H5" s="13">
        <f t="shared" ref="H5" si="0">+G5*F5</f>
        <v>2316000</v>
      </c>
      <c r="I5" s="14">
        <f>+H5*90%</f>
        <v>2084400</v>
      </c>
      <c r="J5" s="14">
        <f>M14+M17+M15+M16+M18+M19+M20</f>
        <v>150000</v>
      </c>
      <c r="K5" s="14">
        <f>+F5-J5</f>
        <v>0</v>
      </c>
    </row>
    <row r="6" spans="2:34" x14ac:dyDescent="0.3">
      <c r="F6" s="11"/>
      <c r="G6" s="15"/>
      <c r="H6" s="16"/>
      <c r="I6" s="17">
        <f>+H3-I3</f>
        <v>231600</v>
      </c>
      <c r="J6" s="17"/>
      <c r="K6" s="17"/>
    </row>
    <row r="7" spans="2:34" x14ac:dyDescent="0.3">
      <c r="F7" s="11"/>
      <c r="G7" s="18"/>
      <c r="H7" s="16"/>
      <c r="I7" s="17"/>
      <c r="K7" s="17"/>
    </row>
    <row r="8" spans="2:34" ht="15" thickBot="1" x14ac:dyDescent="0.35">
      <c r="F8" s="11"/>
      <c r="G8" s="16"/>
      <c r="H8" s="16"/>
      <c r="K8" s="19"/>
    </row>
    <row r="9" spans="2:34" x14ac:dyDescent="0.3">
      <c r="F9" s="11"/>
      <c r="G9" s="16"/>
      <c r="H9" s="16"/>
      <c r="M9" s="71" t="s">
        <v>13</v>
      </c>
      <c r="N9" s="72"/>
    </row>
    <row r="10" spans="2:34" ht="15" thickBot="1" x14ac:dyDescent="0.35">
      <c r="F10" s="11"/>
      <c r="G10" s="16"/>
      <c r="H10" s="16"/>
      <c r="M10" s="73"/>
      <c r="N10" s="74"/>
      <c r="S10" s="20"/>
      <c r="W10" s="19"/>
    </row>
    <row r="11" spans="2:34" x14ac:dyDescent="0.3">
      <c r="S11" s="20"/>
    </row>
    <row r="12" spans="2:34" x14ac:dyDescent="0.3">
      <c r="C12" s="1">
        <v>0.1</v>
      </c>
      <c r="D12" s="1">
        <v>0.9</v>
      </c>
      <c r="S12" t="s">
        <v>134</v>
      </c>
    </row>
    <row r="13" spans="2:34" ht="26.1" customHeight="1" x14ac:dyDescent="0.3">
      <c r="E13" s="21" t="s">
        <v>14</v>
      </c>
      <c r="F13" s="22" t="s">
        <v>5</v>
      </c>
      <c r="G13" s="22" t="s">
        <v>15</v>
      </c>
      <c r="H13" s="22" t="s">
        <v>16</v>
      </c>
      <c r="I13" s="22" t="s">
        <v>17</v>
      </c>
      <c r="J13" s="21" t="s">
        <v>18</v>
      </c>
      <c r="K13" s="21" t="s">
        <v>19</v>
      </c>
      <c r="L13" s="21" t="s">
        <v>20</v>
      </c>
      <c r="M13" s="21" t="s">
        <v>21</v>
      </c>
      <c r="N13" s="23" t="s">
        <v>22</v>
      </c>
      <c r="O13" s="23" t="s">
        <v>23</v>
      </c>
      <c r="P13" s="24" t="s">
        <v>24</v>
      </c>
      <c r="Q13" s="24" t="s">
        <v>25</v>
      </c>
      <c r="R13" s="24" t="s">
        <v>26</v>
      </c>
      <c r="S13" s="24" t="s">
        <v>27</v>
      </c>
      <c r="T13" s="24" t="s">
        <v>28</v>
      </c>
      <c r="U13" s="24" t="s">
        <v>29</v>
      </c>
      <c r="V13" s="24" t="s">
        <v>30</v>
      </c>
      <c r="W13" s="24" t="s">
        <v>31</v>
      </c>
      <c r="X13" s="25" t="s">
        <v>32</v>
      </c>
      <c r="Y13" s="26" t="s">
        <v>33</v>
      </c>
      <c r="Z13" s="26" t="s">
        <v>34</v>
      </c>
      <c r="AA13" s="26" t="s">
        <v>35</v>
      </c>
      <c r="AB13" s="26" t="s">
        <v>36</v>
      </c>
      <c r="AC13" s="26" t="s">
        <v>37</v>
      </c>
      <c r="AD13" s="21" t="s">
        <v>38</v>
      </c>
      <c r="AE13" s="27" t="s">
        <v>39</v>
      </c>
      <c r="AF13" s="28" t="s">
        <v>40</v>
      </c>
      <c r="AG13" s="28" t="s">
        <v>41</v>
      </c>
      <c r="AH13" s="27" t="s">
        <v>42</v>
      </c>
    </row>
    <row r="14" spans="2:34" x14ac:dyDescent="0.3">
      <c r="B14" s="19">
        <f t="shared" ref="B14:B17" si="1">+S14-J14</f>
        <v>7750</v>
      </c>
      <c r="C14" s="19">
        <f>+J14-D14</f>
        <v>38600</v>
      </c>
      <c r="D14" s="19">
        <f>+$D$12*J14</f>
        <v>347400</v>
      </c>
      <c r="E14" s="29" t="s">
        <v>43</v>
      </c>
      <c r="F14" s="30" t="s">
        <v>44</v>
      </c>
      <c r="G14" s="30" t="s">
        <v>45</v>
      </c>
      <c r="H14" s="30"/>
      <c r="I14" s="31">
        <v>15.44</v>
      </c>
      <c r="J14" s="32">
        <f t="shared" ref="J14:J20" si="2">+I14*M14</f>
        <v>386000</v>
      </c>
      <c r="K14" s="47" t="s">
        <v>46</v>
      </c>
      <c r="L14" s="34">
        <v>44558</v>
      </c>
      <c r="M14" s="35">
        <v>25000</v>
      </c>
      <c r="N14" s="36">
        <f>0.118*M14</f>
        <v>2950</v>
      </c>
      <c r="O14" s="37">
        <v>6473</v>
      </c>
      <c r="P14" s="30" t="s">
        <v>47</v>
      </c>
      <c r="Q14" s="38">
        <f t="shared" ref="Q14:Q20" si="3">+I14+(N14+O14)/M14</f>
        <v>15.81692</v>
      </c>
      <c r="R14" s="39">
        <v>15.75</v>
      </c>
      <c r="S14" s="40">
        <f t="shared" ref="S14:S20" si="4">+R14*M14</f>
        <v>393750</v>
      </c>
      <c r="T14" s="41" t="s">
        <v>48</v>
      </c>
      <c r="U14" s="40">
        <f t="shared" ref="U14:U20" si="5">+R14-Q14</f>
        <v>-6.6919999999999646E-2</v>
      </c>
      <c r="V14" s="40">
        <f t="shared" ref="V14:V20" si="6">+U14*M14</f>
        <v>-1672.9999999999911</v>
      </c>
      <c r="W14" s="40">
        <f t="shared" ref="W14:W19" si="7">+MAX((1.5%*I14*M14),(V14*10%))</f>
        <v>5789.9999999999991</v>
      </c>
      <c r="X14" s="40">
        <f t="shared" ref="X14:X20" si="8">+V14-W14</f>
        <v>-7462.99999999999</v>
      </c>
      <c r="Y14" s="42">
        <v>44526</v>
      </c>
      <c r="Z14" s="42">
        <v>44606</v>
      </c>
      <c r="AA14" s="43">
        <f>Z14-Y14</f>
        <v>80</v>
      </c>
      <c r="AB14" s="30"/>
      <c r="AC14" s="37">
        <f>IF(AA14&gt;=90,-M14*I14*0.9*3%/365*AA14,0)</f>
        <v>0</v>
      </c>
      <c r="AD14" s="40">
        <f>+(M14)*(I14*0.1)+N14+X14+AC14+O14+AB14</f>
        <v>40560.000000000007</v>
      </c>
      <c r="AE14" s="6">
        <v>44579</v>
      </c>
      <c r="AF14" s="44">
        <v>778978.96</v>
      </c>
      <c r="AG14" s="6">
        <v>44608</v>
      </c>
      <c r="AH14" s="44">
        <v>40560.000000000007</v>
      </c>
    </row>
    <row r="15" spans="2:34" x14ac:dyDescent="0.3">
      <c r="B15" s="19">
        <f t="shared" si="1"/>
        <v>7750</v>
      </c>
      <c r="C15" s="19">
        <f t="shared" ref="C15:C20" si="9">+J15-D15</f>
        <v>38600</v>
      </c>
      <c r="D15" s="19">
        <f t="shared" ref="D15:D20" si="10">+$D$12*J15</f>
        <v>347400</v>
      </c>
      <c r="E15" s="29" t="s">
        <v>49</v>
      </c>
      <c r="F15" s="30" t="s">
        <v>44</v>
      </c>
      <c r="G15" s="30" t="s">
        <v>45</v>
      </c>
      <c r="H15" s="30"/>
      <c r="I15" s="31">
        <v>15.44</v>
      </c>
      <c r="J15" s="32">
        <f t="shared" si="2"/>
        <v>386000</v>
      </c>
      <c r="K15" s="47" t="s">
        <v>46</v>
      </c>
      <c r="L15" s="34">
        <v>44567</v>
      </c>
      <c r="M15" s="35">
        <v>25000</v>
      </c>
      <c r="N15" s="36">
        <f t="shared" ref="N15:N20" si="11">0.118*M15</f>
        <v>2950</v>
      </c>
      <c r="O15" s="37">
        <v>5930</v>
      </c>
      <c r="P15" s="30" t="s">
        <v>47</v>
      </c>
      <c r="Q15" s="38">
        <f t="shared" si="3"/>
        <v>15.795199999999999</v>
      </c>
      <c r="R15" s="39">
        <v>15.75</v>
      </c>
      <c r="S15" s="40">
        <f t="shared" si="4"/>
        <v>393750</v>
      </c>
      <c r="T15" s="41" t="s">
        <v>48</v>
      </c>
      <c r="U15" s="40">
        <f t="shared" si="5"/>
        <v>-4.5199999999999463E-2</v>
      </c>
      <c r="V15" s="40">
        <f t="shared" si="6"/>
        <v>-1129.9999999999866</v>
      </c>
      <c r="W15" s="40">
        <f t="shared" si="7"/>
        <v>5789.9999999999991</v>
      </c>
      <c r="X15" s="40">
        <f t="shared" si="8"/>
        <v>-6919.9999999999854</v>
      </c>
      <c r="Y15" s="42">
        <v>44526</v>
      </c>
      <c r="Z15" s="42">
        <v>44615</v>
      </c>
      <c r="AA15" s="43">
        <f>Z15-Y15</f>
        <v>89</v>
      </c>
      <c r="AB15" s="30"/>
      <c r="AC15" s="37">
        <f t="shared" ref="AC15:AC20" si="12">IF(AA15&gt;=90,-M15*I15*0.9*3%/365*AA15,0)</f>
        <v>0</v>
      </c>
      <c r="AD15" s="40">
        <f t="shared" ref="AD15:AD18" si="13">+(M15)*(I15*0.1)+N15+X15+AC15+O15+AB15</f>
        <v>40560.000000000015</v>
      </c>
      <c r="AE15" s="6">
        <v>44606</v>
      </c>
      <c r="AF15" s="44">
        <v>896367.75</v>
      </c>
      <c r="AG15" s="6"/>
      <c r="AH15" s="44"/>
    </row>
    <row r="16" spans="2:34" x14ac:dyDescent="0.3">
      <c r="B16" s="19">
        <f t="shared" si="1"/>
        <v>7750</v>
      </c>
      <c r="C16" s="19">
        <f t="shared" si="9"/>
        <v>38600</v>
      </c>
      <c r="D16" s="19">
        <f t="shared" si="10"/>
        <v>347400</v>
      </c>
      <c r="E16" s="29" t="s">
        <v>50</v>
      </c>
      <c r="F16" s="30" t="s">
        <v>44</v>
      </c>
      <c r="G16" s="30" t="s">
        <v>45</v>
      </c>
      <c r="H16" s="30"/>
      <c r="I16" s="31">
        <v>15.44</v>
      </c>
      <c r="J16" s="32">
        <f t="shared" si="2"/>
        <v>386000</v>
      </c>
      <c r="K16" s="47" t="s">
        <v>46</v>
      </c>
      <c r="L16" s="34">
        <v>44598</v>
      </c>
      <c r="M16" s="35">
        <v>25000</v>
      </c>
      <c r="N16" s="36">
        <f t="shared" si="11"/>
        <v>2950</v>
      </c>
      <c r="O16" s="37">
        <v>6802</v>
      </c>
      <c r="P16" s="30" t="s">
        <v>47</v>
      </c>
      <c r="Q16" s="38">
        <f t="shared" si="3"/>
        <v>15.830079999999999</v>
      </c>
      <c r="R16" s="39">
        <v>15.75</v>
      </c>
      <c r="S16" s="40">
        <f t="shared" si="4"/>
        <v>393750</v>
      </c>
      <c r="T16" s="41" t="s">
        <v>48</v>
      </c>
      <c r="U16" s="40">
        <f t="shared" si="5"/>
        <v>-8.0079999999998819E-2</v>
      </c>
      <c r="V16" s="40">
        <f t="shared" si="6"/>
        <v>-2001.9999999999704</v>
      </c>
      <c r="W16" s="40">
        <f t="shared" si="7"/>
        <v>5789.9999999999991</v>
      </c>
      <c r="X16" s="40">
        <f t="shared" si="8"/>
        <v>-7791.9999999999691</v>
      </c>
      <c r="Y16" s="42">
        <v>44526</v>
      </c>
      <c r="Z16" s="42">
        <v>44638</v>
      </c>
      <c r="AA16" s="43">
        <f>Z16-Y16</f>
        <v>112</v>
      </c>
      <c r="AB16" s="30"/>
      <c r="AC16" s="37">
        <f t="shared" si="12"/>
        <v>-3197.9835616438359</v>
      </c>
      <c r="AD16" s="40">
        <f t="shared" si="13"/>
        <v>37362.016438356193</v>
      </c>
      <c r="AE16" s="6">
        <v>44631</v>
      </c>
      <c r="AF16" s="44">
        <v>1061402.57</v>
      </c>
      <c r="AG16" s="6">
        <v>44643</v>
      </c>
      <c r="AH16" s="44">
        <v>37219.249315068519</v>
      </c>
    </row>
    <row r="17" spans="2:34" x14ac:dyDescent="0.3">
      <c r="B17" s="19">
        <f t="shared" si="1"/>
        <v>8280</v>
      </c>
      <c r="C17" s="19">
        <f t="shared" si="9"/>
        <v>35512</v>
      </c>
      <c r="D17" s="19">
        <f t="shared" si="10"/>
        <v>319608</v>
      </c>
      <c r="E17" s="29" t="s">
        <v>51</v>
      </c>
      <c r="F17" s="30" t="s">
        <v>44</v>
      </c>
      <c r="G17" s="30" t="s">
        <v>45</v>
      </c>
      <c r="H17" s="30"/>
      <c r="I17" s="31">
        <v>15.44</v>
      </c>
      <c r="J17" s="32">
        <f t="shared" si="2"/>
        <v>355120</v>
      </c>
      <c r="K17" s="47" t="s">
        <v>46</v>
      </c>
      <c r="L17" s="34">
        <v>44569</v>
      </c>
      <c r="M17" s="35">
        <v>23000</v>
      </c>
      <c r="N17" s="36">
        <f t="shared" si="11"/>
        <v>2714</v>
      </c>
      <c r="O17" s="37">
        <v>5790</v>
      </c>
      <c r="P17" s="30" t="s">
        <v>52</v>
      </c>
      <c r="Q17" s="38">
        <f t="shared" si="3"/>
        <v>15.809739130434782</v>
      </c>
      <c r="R17" s="39">
        <v>15.8</v>
      </c>
      <c r="S17" s="40">
        <f t="shared" si="4"/>
        <v>363400</v>
      </c>
      <c r="T17" s="41" t="s">
        <v>48</v>
      </c>
      <c r="U17" s="40">
        <f t="shared" si="5"/>
        <v>-9.7391304347809182E-3</v>
      </c>
      <c r="V17" s="40">
        <f t="shared" si="6"/>
        <v>-223.99999999996112</v>
      </c>
      <c r="W17" s="40">
        <f t="shared" si="7"/>
        <v>5326.7999999999993</v>
      </c>
      <c r="X17" s="40">
        <f t="shared" si="8"/>
        <v>-5550.7999999999602</v>
      </c>
      <c r="Y17" s="42">
        <v>44526</v>
      </c>
      <c r="Z17" s="42">
        <v>44600</v>
      </c>
      <c r="AA17" s="43">
        <f t="shared" ref="AA17:AA20" si="14">Z17-Y17</f>
        <v>74</v>
      </c>
      <c r="AB17" s="30"/>
      <c r="AC17" s="37">
        <f t="shared" si="12"/>
        <v>0</v>
      </c>
      <c r="AD17" s="40">
        <f t="shared" si="13"/>
        <v>38465.200000000041</v>
      </c>
      <c r="AE17" s="6">
        <v>44606</v>
      </c>
      <c r="AF17" s="44">
        <v>896367.75</v>
      </c>
      <c r="AG17" s="6">
        <v>44615</v>
      </c>
      <c r="AH17" s="44">
        <v>38465.200000000041</v>
      </c>
    </row>
    <row r="18" spans="2:34" x14ac:dyDescent="0.3">
      <c r="B18" s="19">
        <f>+S18-J18</f>
        <v>85260</v>
      </c>
      <c r="C18" s="51">
        <f t="shared" si="9"/>
        <v>32424</v>
      </c>
      <c r="D18" s="19">
        <f t="shared" si="10"/>
        <v>291816</v>
      </c>
      <c r="E18" s="29" t="s">
        <v>53</v>
      </c>
      <c r="F18" s="30" t="s">
        <v>44</v>
      </c>
      <c r="G18" s="30" t="s">
        <v>45</v>
      </c>
      <c r="H18" s="30"/>
      <c r="I18" s="31">
        <v>15.44</v>
      </c>
      <c r="J18" s="32">
        <f t="shared" si="2"/>
        <v>324240</v>
      </c>
      <c r="K18" s="33" t="s">
        <v>54</v>
      </c>
      <c r="L18" s="34">
        <v>44641</v>
      </c>
      <c r="M18" s="35">
        <v>21000</v>
      </c>
      <c r="N18" s="52">
        <f t="shared" si="11"/>
        <v>2478</v>
      </c>
      <c r="O18" s="53">
        <v>7030</v>
      </c>
      <c r="P18" s="30" t="s">
        <v>55</v>
      </c>
      <c r="Q18" s="38">
        <f t="shared" si="3"/>
        <v>15.892761904761905</v>
      </c>
      <c r="R18" s="39">
        <v>19.5</v>
      </c>
      <c r="S18" s="40">
        <f t="shared" si="4"/>
        <v>409500</v>
      </c>
      <c r="T18" s="41" t="s">
        <v>48</v>
      </c>
      <c r="U18" s="40">
        <f t="shared" si="5"/>
        <v>3.6072380952380954</v>
      </c>
      <c r="V18" s="40">
        <f t="shared" si="6"/>
        <v>75752</v>
      </c>
      <c r="W18" s="40">
        <f>+MAX((1.5%*I18*M18),(V18*10%))</f>
        <v>7575.2000000000007</v>
      </c>
      <c r="X18" s="54">
        <f>+V18-W18</f>
        <v>68176.800000000003</v>
      </c>
      <c r="Y18" s="42">
        <v>44526</v>
      </c>
      <c r="Z18" s="42">
        <v>44701</v>
      </c>
      <c r="AA18" s="43">
        <f t="shared" si="14"/>
        <v>175</v>
      </c>
      <c r="AB18" s="30"/>
      <c r="AC18" s="53">
        <f t="shared" si="12"/>
        <v>-4197.3534246575346</v>
      </c>
      <c r="AD18" s="40">
        <f t="shared" si="13"/>
        <v>105911.44657534247</v>
      </c>
      <c r="AE18" s="6">
        <v>44663</v>
      </c>
      <c r="AF18" s="44">
        <v>2085576.87</v>
      </c>
      <c r="AG18" s="6">
        <v>44689</v>
      </c>
      <c r="AH18" s="44">
        <v>106199.26509589041</v>
      </c>
    </row>
    <row r="19" spans="2:34" x14ac:dyDescent="0.3">
      <c r="B19" s="19">
        <f t="shared" ref="B19:B20" si="15">+S19-J19</f>
        <v>93887.200000000012</v>
      </c>
      <c r="C19" s="19">
        <f t="shared" si="9"/>
        <v>38553.679999999993</v>
      </c>
      <c r="D19" s="19">
        <f t="shared" si="10"/>
        <v>346983.12</v>
      </c>
      <c r="E19" s="29" t="s">
        <v>56</v>
      </c>
      <c r="F19" s="30" t="s">
        <v>44</v>
      </c>
      <c r="G19" s="30" t="s">
        <v>45</v>
      </c>
      <c r="H19" s="30"/>
      <c r="I19" s="31">
        <v>15.44</v>
      </c>
      <c r="J19" s="32">
        <f t="shared" si="2"/>
        <v>385536.8</v>
      </c>
      <c r="K19" s="33" t="s">
        <v>57</v>
      </c>
      <c r="L19" s="34">
        <v>44629</v>
      </c>
      <c r="M19" s="35">
        <v>24970</v>
      </c>
      <c r="N19" s="36">
        <f t="shared" si="11"/>
        <v>2946.46</v>
      </c>
      <c r="O19" s="37">
        <v>7765</v>
      </c>
      <c r="P19" s="30" t="s">
        <v>58</v>
      </c>
      <c r="Q19" s="38">
        <f t="shared" si="3"/>
        <v>15.868973167801361</v>
      </c>
      <c r="R19" s="39">
        <v>19.2</v>
      </c>
      <c r="S19" s="40">
        <f t="shared" si="4"/>
        <v>479424</v>
      </c>
      <c r="T19" s="41" t="s">
        <v>48</v>
      </c>
      <c r="U19" s="40">
        <f t="shared" si="5"/>
        <v>3.3310268321986385</v>
      </c>
      <c r="V19" s="40">
        <f t="shared" si="6"/>
        <v>83175.740000000005</v>
      </c>
      <c r="W19" s="40">
        <f t="shared" si="7"/>
        <v>8317.5740000000005</v>
      </c>
      <c r="X19" s="40">
        <f t="shared" si="8"/>
        <v>74858.165999999997</v>
      </c>
      <c r="Y19" s="42">
        <v>44526</v>
      </c>
      <c r="Z19" s="42">
        <v>44708</v>
      </c>
      <c r="AA19" s="43">
        <f t="shared" si="14"/>
        <v>182</v>
      </c>
      <c r="AB19" s="30"/>
      <c r="AC19" s="37">
        <f t="shared" si="12"/>
        <v>-5190.4872197260274</v>
      </c>
      <c r="AD19" s="40">
        <f>+(M19)*(I19*0.1)+N19+X19+AC19+O19+AB19</f>
        <v>118932.81878027397</v>
      </c>
      <c r="AE19" s="6">
        <v>44663</v>
      </c>
      <c r="AF19" s="44">
        <v>2085576.87</v>
      </c>
      <c r="AG19" s="6">
        <v>44680</v>
      </c>
      <c r="AH19" s="44">
        <v>119731.35527561643</v>
      </c>
    </row>
    <row r="20" spans="2:34" x14ac:dyDescent="0.3">
      <c r="B20" s="19">
        <f t="shared" si="15"/>
        <v>8200.8000000000029</v>
      </c>
      <c r="C20" s="19">
        <f t="shared" si="9"/>
        <v>9310.3199999999924</v>
      </c>
      <c r="D20" s="19">
        <f t="shared" si="10"/>
        <v>83792.88</v>
      </c>
      <c r="E20" s="29" t="s">
        <v>59</v>
      </c>
      <c r="F20" s="30" t="s">
        <v>44</v>
      </c>
      <c r="G20" s="30" t="s">
        <v>45</v>
      </c>
      <c r="H20" s="30"/>
      <c r="I20" s="31">
        <v>15.44</v>
      </c>
      <c r="J20" s="32">
        <f t="shared" si="2"/>
        <v>93103.2</v>
      </c>
      <c r="K20" s="33" t="s">
        <v>60</v>
      </c>
      <c r="L20" s="34">
        <v>44671</v>
      </c>
      <c r="M20" s="35">
        <v>6030</v>
      </c>
      <c r="N20" s="36">
        <f t="shared" si="11"/>
        <v>711.54</v>
      </c>
      <c r="O20" s="37">
        <v>1607.1</v>
      </c>
      <c r="P20" s="30" t="s">
        <v>61</v>
      </c>
      <c r="Q20" s="38">
        <f t="shared" si="3"/>
        <v>15.824517412935323</v>
      </c>
      <c r="R20" s="39">
        <v>16.8</v>
      </c>
      <c r="S20" s="40">
        <f t="shared" si="4"/>
        <v>101304</v>
      </c>
      <c r="T20" s="41" t="s">
        <v>48</v>
      </c>
      <c r="U20" s="40">
        <f t="shared" si="5"/>
        <v>0.97548258706467728</v>
      </c>
      <c r="V20" s="40">
        <f t="shared" si="6"/>
        <v>5882.1600000000044</v>
      </c>
      <c r="W20" s="40">
        <f>ROUND(+MAX((1.5%*I20*M20),(V20*10%)),2)</f>
        <v>1396.55</v>
      </c>
      <c r="X20" s="40">
        <f t="shared" si="8"/>
        <v>4485.6100000000042</v>
      </c>
      <c r="Y20" s="42">
        <v>44526</v>
      </c>
      <c r="Z20" s="42">
        <v>44732</v>
      </c>
      <c r="AA20" s="43">
        <f t="shared" si="14"/>
        <v>206</v>
      </c>
      <c r="AB20" s="30"/>
      <c r="AC20" s="37">
        <f t="shared" si="12"/>
        <v>-1418.7397216438358</v>
      </c>
      <c r="AD20" s="40">
        <f>+(M20)*(I20*0.1)+N20+X20+AC20+O20+AB20</f>
        <v>14695.830278356168</v>
      </c>
      <c r="AE20" s="6">
        <v>44697</v>
      </c>
      <c r="AF20" s="44">
        <v>1356731.84</v>
      </c>
    </row>
    <row r="21" spans="2:34" x14ac:dyDescent="0.3">
      <c r="B21" s="19">
        <f>SUM(B14:B20)</f>
        <v>218878</v>
      </c>
      <c r="C21" s="19">
        <f>SUM(C14:C20)</f>
        <v>231600</v>
      </c>
      <c r="D21" s="19">
        <f>SUM(D14:D20)</f>
        <v>2084400</v>
      </c>
      <c r="J21" s="19">
        <f>SUM(J14:J20)</f>
        <v>2316000</v>
      </c>
      <c r="M21" s="19">
        <f t="shared" ref="M21:O21" si="16">SUM(M14:M20)</f>
        <v>150000</v>
      </c>
      <c r="N21" s="19">
        <f>SUM(N14:N20)</f>
        <v>17700</v>
      </c>
      <c r="O21" s="19">
        <f t="shared" si="16"/>
        <v>41397.1</v>
      </c>
      <c r="S21" s="19">
        <f t="shared" ref="S21" si="17">SUM(S14:S20)</f>
        <v>2534878</v>
      </c>
      <c r="U21" s="19">
        <f t="shared" ref="U21" si="18">SUM(U14:U20)</f>
        <v>7.7118083840666323</v>
      </c>
      <c r="V21" s="19">
        <f t="shared" ref="V21" si="19">SUM(V14:V20)</f>
        <v>159780.90000000011</v>
      </c>
      <c r="W21" s="19">
        <f t="shared" ref="W21" si="20">SUM(W14:W20)</f>
        <v>39986.123999999996</v>
      </c>
      <c r="X21" s="19">
        <f t="shared" ref="X21" si="21">SUM(X14:X20)</f>
        <v>119794.7760000001</v>
      </c>
      <c r="AC21" s="19">
        <f t="shared" ref="AC21" si="22">SUM(AC14:AC20)</f>
        <v>-14004.563927671235</v>
      </c>
      <c r="AD21" s="19">
        <f t="shared" ref="AD21" si="23">SUM(AD14:AD20)</f>
        <v>396487.31207232887</v>
      </c>
    </row>
    <row r="23" spans="2:34" x14ac:dyDescent="0.3">
      <c r="S23" s="19">
        <f>+J18+B18</f>
        <v>409500</v>
      </c>
    </row>
    <row r="24" spans="2:34" x14ac:dyDescent="0.3">
      <c r="N24" s="19">
        <f>+N18+O18+X18+W18</f>
        <v>85260</v>
      </c>
    </row>
    <row r="25" spans="2:34" x14ac:dyDescent="0.3">
      <c r="W25" s="19"/>
    </row>
    <row r="26" spans="2:34" x14ac:dyDescent="0.3">
      <c r="W26" s="20"/>
    </row>
    <row r="27" spans="2:34" x14ac:dyDescent="0.3">
      <c r="F27" s="45"/>
      <c r="G27" s="46"/>
      <c r="I27" s="46"/>
    </row>
    <row r="28" spans="2:34" x14ac:dyDescent="0.3">
      <c r="F28" s="45"/>
      <c r="I28" s="46"/>
    </row>
    <row r="29" spans="2:34" x14ac:dyDescent="0.3">
      <c r="F29" s="45"/>
      <c r="G29" s="46"/>
      <c r="I29" s="46"/>
    </row>
    <row r="30" spans="2:34" x14ac:dyDescent="0.3">
      <c r="F30" s="45"/>
      <c r="G30" s="46"/>
      <c r="I30" s="46"/>
    </row>
    <row r="31" spans="2:34" x14ac:dyDescent="0.3">
      <c r="F31" s="45"/>
      <c r="G31" s="46"/>
      <c r="I31" s="46"/>
    </row>
    <row r="32" spans="2:34" x14ac:dyDescent="0.3">
      <c r="F32" s="45"/>
      <c r="G32" s="46"/>
      <c r="I32" s="46"/>
    </row>
    <row r="33" spans="6:9" x14ac:dyDescent="0.3">
      <c r="G33" s="46"/>
      <c r="I33" s="46"/>
    </row>
    <row r="34" spans="6:9" x14ac:dyDescent="0.3">
      <c r="G34" s="46"/>
      <c r="I34" s="46"/>
    </row>
    <row r="35" spans="6:9" x14ac:dyDescent="0.3">
      <c r="I35" s="46"/>
    </row>
    <row r="38" spans="6:9" x14ac:dyDescent="0.3">
      <c r="F38" s="16"/>
    </row>
    <row r="39" spans="6:9" x14ac:dyDescent="0.3">
      <c r="F39" s="16"/>
    </row>
    <row r="40" spans="6:9" x14ac:dyDescent="0.3">
      <c r="F40" s="16"/>
    </row>
    <row r="41" spans="6:9" x14ac:dyDescent="0.3">
      <c r="F41" s="16"/>
    </row>
    <row r="42" spans="6:9" x14ac:dyDescent="0.3">
      <c r="F42" s="16"/>
    </row>
    <row r="43" spans="6:9" x14ac:dyDescent="0.3">
      <c r="F43" s="11"/>
    </row>
    <row r="44" spans="6:9" x14ac:dyDescent="0.3">
      <c r="F44" s="11"/>
    </row>
  </sheetData>
  <autoFilter ref="B13:AH20" xr:uid="{5DBA06A2-61E0-4B83-8800-27A012230369}"/>
  <mergeCells count="1">
    <mergeCell ref="M9:N1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747A6-95CE-41E6-9EAA-79379A5754FD}">
  <sheetPr>
    <tabColor theme="4" tint="0.59999389629810485"/>
  </sheetPr>
  <dimension ref="B3:AH41"/>
  <sheetViews>
    <sheetView showGridLines="0" tabSelected="1" topLeftCell="C3" zoomScale="80" zoomScaleNormal="80" workbookViewId="0">
      <selection activeCell="L16" sqref="L16"/>
    </sheetView>
  </sheetViews>
  <sheetFormatPr baseColWidth="10" defaultColWidth="10.88671875" defaultRowHeight="14.4" x14ac:dyDescent="0.3"/>
  <cols>
    <col min="1" max="1" width="0" hidden="1" customWidth="1"/>
    <col min="2" max="3" width="11.33203125" bestFit="1" customWidth="1"/>
    <col min="4" max="4" width="12.77734375" bestFit="1" customWidth="1"/>
    <col min="5" max="5" width="18.44140625" customWidth="1"/>
    <col min="6" max="6" width="12.109375" customWidth="1"/>
    <col min="7" max="7" width="16.33203125" customWidth="1"/>
    <col min="8" max="8" width="15.109375" customWidth="1"/>
    <col min="9" max="9" width="16.109375" customWidth="1"/>
    <col min="10" max="10" width="15.109375" customWidth="1"/>
    <col min="11" max="11" width="30.88671875" customWidth="1"/>
    <col min="12" max="12" width="12.44140625" customWidth="1"/>
    <col min="13" max="13" width="18" bestFit="1" customWidth="1"/>
    <col min="14" max="14" width="14.44140625" bestFit="1" customWidth="1"/>
    <col min="15" max="15" width="17.109375" customWidth="1"/>
    <col min="16" max="16" width="17.6640625" customWidth="1"/>
    <col min="19" max="19" width="14.44140625" customWidth="1"/>
    <col min="20" max="20" width="28.44140625" customWidth="1"/>
    <col min="22" max="22" width="12.6640625" customWidth="1"/>
    <col min="23" max="23" width="13.77734375" customWidth="1"/>
    <col min="24" max="24" width="13.44140625" customWidth="1"/>
    <col min="25" max="25" width="15.44140625" customWidth="1"/>
    <col min="26" max="26" width="16.33203125" customWidth="1"/>
    <col min="28" max="28" width="13.44140625" bestFit="1" customWidth="1"/>
    <col min="30" max="30" width="29.109375" bestFit="1" customWidth="1"/>
    <col min="31" max="31" width="12.44140625" hidden="1" customWidth="1"/>
    <col min="32" max="32" width="13.88671875" hidden="1" customWidth="1"/>
    <col min="33" max="33" width="12.88671875" hidden="1" customWidth="1"/>
    <col min="34" max="34" width="14.88671875" hidden="1" customWidth="1"/>
  </cols>
  <sheetData>
    <row r="3" spans="2:34" ht="15" thickBot="1" x14ac:dyDescent="0.35">
      <c r="E3" s="2"/>
      <c r="F3" s="3"/>
      <c r="G3" s="4"/>
      <c r="H3" s="68">
        <f>J18</f>
        <v>1269909.1199999999</v>
      </c>
      <c r="I3" s="5">
        <f>+H3*0.9</f>
        <v>1142918.2079999999</v>
      </c>
      <c r="J3" s="6">
        <v>44526</v>
      </c>
      <c r="L3" t="s">
        <v>170</v>
      </c>
      <c r="M3" s="1">
        <v>1</v>
      </c>
    </row>
    <row r="4" spans="2:34" ht="15" thickBot="1" x14ac:dyDescent="0.35">
      <c r="E4" s="7" t="s">
        <v>5</v>
      </c>
      <c r="F4" s="8" t="s">
        <v>6</v>
      </c>
      <c r="G4" s="8" t="s">
        <v>7</v>
      </c>
      <c r="H4" s="8" t="s">
        <v>8</v>
      </c>
      <c r="I4" s="9" t="s">
        <v>9</v>
      </c>
      <c r="J4" s="10" t="s">
        <v>10</v>
      </c>
      <c r="K4" s="10" t="s">
        <v>11</v>
      </c>
    </row>
    <row r="5" spans="2:34" x14ac:dyDescent="0.3">
      <c r="E5" t="s">
        <v>12</v>
      </c>
      <c r="F5" s="11">
        <v>82248</v>
      </c>
      <c r="G5" s="12">
        <v>15.44</v>
      </c>
      <c r="H5" s="13">
        <f t="shared" ref="H5" si="0">+G5*F5</f>
        <v>1269909.1199999999</v>
      </c>
      <c r="I5" s="14">
        <f>+H5*90%</f>
        <v>1142918.2079999999</v>
      </c>
      <c r="J5" s="14">
        <f>M14+M15+M16+M17</f>
        <v>82248</v>
      </c>
      <c r="K5" s="14">
        <f>+F5-J5</f>
        <v>0</v>
      </c>
      <c r="M5" s="1">
        <v>0.9</v>
      </c>
    </row>
    <row r="6" spans="2:34" x14ac:dyDescent="0.3">
      <c r="F6" s="11"/>
      <c r="G6" s="15"/>
      <c r="H6" s="16"/>
      <c r="I6" s="69">
        <f>+H3-I3</f>
        <v>126990.91200000001</v>
      </c>
      <c r="J6" s="17"/>
      <c r="K6" s="17"/>
      <c r="L6" t="s">
        <v>169</v>
      </c>
      <c r="M6" s="1">
        <v>0.1</v>
      </c>
    </row>
    <row r="7" spans="2:34" x14ac:dyDescent="0.3">
      <c r="F7" s="11"/>
      <c r="G7" s="18"/>
      <c r="H7" s="16"/>
      <c r="I7" s="17"/>
      <c r="K7" s="17"/>
    </row>
    <row r="8" spans="2:34" ht="15" thickBot="1" x14ac:dyDescent="0.35">
      <c r="F8" s="11"/>
      <c r="G8" s="16"/>
      <c r="H8" s="16"/>
      <c r="K8" s="19"/>
    </row>
    <row r="9" spans="2:34" x14ac:dyDescent="0.3">
      <c r="F9" s="11"/>
      <c r="G9" s="16"/>
      <c r="H9" s="16"/>
      <c r="M9" s="71" t="s">
        <v>13</v>
      </c>
      <c r="N9" s="72"/>
    </row>
    <row r="10" spans="2:34" ht="15" thickBot="1" x14ac:dyDescent="0.35">
      <c r="F10" s="11"/>
      <c r="G10" s="16"/>
      <c r="H10" s="16"/>
      <c r="M10" s="73"/>
      <c r="N10" s="74"/>
      <c r="S10" s="20"/>
      <c r="W10" s="19"/>
    </row>
    <row r="11" spans="2:34" ht="28.8" x14ac:dyDescent="0.3">
      <c r="S11" s="20"/>
      <c r="V11" s="70" t="s">
        <v>164</v>
      </c>
      <c r="W11" s="70" t="s">
        <v>165</v>
      </c>
    </row>
    <row r="12" spans="2:34" x14ac:dyDescent="0.3">
      <c r="C12" s="1">
        <v>0.1</v>
      </c>
      <c r="D12" s="1">
        <v>0.9</v>
      </c>
      <c r="S12" t="s">
        <v>134</v>
      </c>
    </row>
    <row r="13" spans="2:34" ht="26.1" customHeight="1" x14ac:dyDescent="0.3">
      <c r="B13" t="s">
        <v>163</v>
      </c>
      <c r="E13" s="21" t="s">
        <v>14</v>
      </c>
      <c r="F13" s="22" t="s">
        <v>5</v>
      </c>
      <c r="G13" s="22" t="s">
        <v>15</v>
      </c>
      <c r="H13" s="22" t="s">
        <v>16</v>
      </c>
      <c r="I13" s="22" t="s">
        <v>17</v>
      </c>
      <c r="J13" s="21" t="s">
        <v>18</v>
      </c>
      <c r="K13" s="21" t="s">
        <v>19</v>
      </c>
      <c r="L13" s="21" t="s">
        <v>20</v>
      </c>
      <c r="M13" s="21" t="s">
        <v>21</v>
      </c>
      <c r="N13" s="23" t="s">
        <v>22</v>
      </c>
      <c r="O13" s="23" t="s">
        <v>23</v>
      </c>
      <c r="P13" s="24" t="s">
        <v>24</v>
      </c>
      <c r="Q13" s="24" t="s">
        <v>25</v>
      </c>
      <c r="R13" s="24" t="s">
        <v>26</v>
      </c>
      <c r="S13" s="24" t="s">
        <v>27</v>
      </c>
      <c r="T13" s="24" t="s">
        <v>28</v>
      </c>
      <c r="U13" s="24" t="s">
        <v>29</v>
      </c>
      <c r="V13" s="24" t="s">
        <v>30</v>
      </c>
      <c r="W13" s="24" t="s">
        <v>31</v>
      </c>
      <c r="X13" s="25" t="s">
        <v>32</v>
      </c>
      <c r="Y13" s="26" t="s">
        <v>33</v>
      </c>
      <c r="Z13" s="26" t="s">
        <v>34</v>
      </c>
      <c r="AA13" s="26" t="s">
        <v>35</v>
      </c>
      <c r="AB13" s="26" t="s">
        <v>36</v>
      </c>
      <c r="AC13" s="26" t="s">
        <v>37</v>
      </c>
      <c r="AD13" s="21" t="s">
        <v>38</v>
      </c>
      <c r="AE13" s="27" t="s">
        <v>39</v>
      </c>
      <c r="AF13" s="28" t="s">
        <v>40</v>
      </c>
      <c r="AG13" s="28" t="s">
        <v>41</v>
      </c>
      <c r="AH13" s="27" t="s">
        <v>42</v>
      </c>
    </row>
    <row r="14" spans="2:34" x14ac:dyDescent="0.3">
      <c r="B14" s="19">
        <f t="shared" ref="B14" si="1">+S14-J14</f>
        <v>9000</v>
      </c>
      <c r="C14" s="19">
        <f t="shared" ref="C14:C17" si="2">+J14-D14</f>
        <v>38600</v>
      </c>
      <c r="D14" s="19">
        <f t="shared" ref="D14:D17" si="3">+$D$12*J14</f>
        <v>347400</v>
      </c>
      <c r="E14" s="29" t="s">
        <v>162</v>
      </c>
      <c r="F14" s="30" t="s">
        <v>160</v>
      </c>
      <c r="G14" s="30" t="s">
        <v>45</v>
      </c>
      <c r="H14" s="30"/>
      <c r="I14" s="31">
        <v>15.44</v>
      </c>
      <c r="J14" s="32">
        <f>+I14*M14</f>
        <v>386000</v>
      </c>
      <c r="K14" s="47" t="s">
        <v>46</v>
      </c>
      <c r="L14" s="34">
        <v>44865</v>
      </c>
      <c r="M14" s="35">
        <v>25000</v>
      </c>
      <c r="N14" s="36">
        <f>0.118*M14</f>
        <v>2950</v>
      </c>
      <c r="O14" s="37">
        <v>5000</v>
      </c>
      <c r="P14" s="30" t="s">
        <v>52</v>
      </c>
      <c r="Q14" s="38">
        <f>+I14+(N14+O14)/M14</f>
        <v>15.757999999999999</v>
      </c>
      <c r="R14" s="39">
        <v>15.8</v>
      </c>
      <c r="S14" s="40">
        <f>+R14*M14</f>
        <v>395000</v>
      </c>
      <c r="T14" s="41" t="s">
        <v>48</v>
      </c>
      <c r="U14" s="40">
        <f>+R14-Q14</f>
        <v>4.2000000000001592E-2</v>
      </c>
      <c r="V14" s="40">
        <f>+U14*M14</f>
        <v>1050.0000000000398</v>
      </c>
      <c r="W14" s="40">
        <f>+MAX((1.5%*I14*M14),(V14*10%))</f>
        <v>5789.9999999999991</v>
      </c>
      <c r="X14" s="40">
        <f t="shared" ref="X14:X17" si="4">+V14-W14</f>
        <v>-4739.9999999999591</v>
      </c>
      <c r="Y14" s="42">
        <v>44526</v>
      </c>
      <c r="Z14" s="42">
        <v>44600</v>
      </c>
      <c r="AA14" s="43">
        <f t="shared" ref="AA14:AA17" si="5">Z14-Y14</f>
        <v>74</v>
      </c>
      <c r="AB14" s="30"/>
      <c r="AC14" s="37">
        <f t="shared" ref="AC14:AC17" si="6">IF(AA14&gt;=90,-M14*I14*0.9*3%/365*AA14,0)</f>
        <v>0</v>
      </c>
      <c r="AD14" s="40">
        <f t="shared" ref="AD14:AD15" si="7">+(M14)*(I14*0.1)+N14+X14+AC14+O14+AB14</f>
        <v>41810.000000000044</v>
      </c>
      <c r="AE14" s="6">
        <v>44606</v>
      </c>
      <c r="AF14" s="44">
        <v>896367.75</v>
      </c>
      <c r="AG14" s="6">
        <v>44615</v>
      </c>
      <c r="AH14" s="44">
        <v>38465.200000000041</v>
      </c>
    </row>
    <row r="15" spans="2:34" x14ac:dyDescent="0.3">
      <c r="B15" s="19">
        <f>+S15-J15</f>
        <v>40946.880000000005</v>
      </c>
      <c r="C15" s="51">
        <f t="shared" si="2"/>
        <v>40526.912000000011</v>
      </c>
      <c r="D15" s="19">
        <f t="shared" si="3"/>
        <v>364742.20799999998</v>
      </c>
      <c r="E15" s="29" t="s">
        <v>161</v>
      </c>
      <c r="F15" s="30" t="s">
        <v>160</v>
      </c>
      <c r="G15" s="30" t="s">
        <v>45</v>
      </c>
      <c r="H15" s="30"/>
      <c r="I15" s="31">
        <v>15.44</v>
      </c>
      <c r="J15" s="32">
        <f t="shared" ref="J15:J17" si="8">+I15*M15</f>
        <v>405269.12</v>
      </c>
      <c r="K15" s="33" t="s">
        <v>54</v>
      </c>
      <c r="L15" s="34">
        <v>44865</v>
      </c>
      <c r="M15" s="35">
        <v>26248</v>
      </c>
      <c r="N15" s="52">
        <f t="shared" ref="N15:N17" si="9">0.118*M15</f>
        <v>3097.2639999999997</v>
      </c>
      <c r="O15" s="53">
        <v>7000</v>
      </c>
      <c r="P15" s="30" t="s">
        <v>55</v>
      </c>
      <c r="Q15" s="38">
        <f t="shared" ref="Q15:Q17" si="10">+I15+(N15+O15)/M15</f>
        <v>15.824686985675099</v>
      </c>
      <c r="R15" s="39">
        <v>17</v>
      </c>
      <c r="S15" s="40">
        <f t="shared" ref="S15:S17" si="11">+R15*M15</f>
        <v>446216</v>
      </c>
      <c r="T15" s="41" t="s">
        <v>48</v>
      </c>
      <c r="U15" s="40">
        <f t="shared" ref="U15:U17" si="12">+R15-Q15</f>
        <v>1.1753130143249013</v>
      </c>
      <c r="V15" s="40">
        <f t="shared" ref="V15:V17" si="13">+U15*M15</f>
        <v>30849.616000000009</v>
      </c>
      <c r="W15" s="40">
        <f>+MAX((1.5%*I15*M15),(V15*10%))</f>
        <v>6079.0367999999989</v>
      </c>
      <c r="X15" s="54">
        <f>+V15-W15</f>
        <v>24770.579200000011</v>
      </c>
      <c r="Y15" s="42">
        <v>44526</v>
      </c>
      <c r="Z15" s="42">
        <v>44701</v>
      </c>
      <c r="AA15" s="43">
        <f t="shared" si="5"/>
        <v>175</v>
      </c>
      <c r="AB15" s="30"/>
      <c r="AC15" s="53">
        <f t="shared" si="6"/>
        <v>-5246.2920328767113</v>
      </c>
      <c r="AD15" s="40">
        <f t="shared" si="7"/>
        <v>70148.463167123293</v>
      </c>
      <c r="AE15" s="6">
        <v>44663</v>
      </c>
      <c r="AF15" s="44">
        <v>2085576.87</v>
      </c>
      <c r="AG15" s="6">
        <v>44689</v>
      </c>
      <c r="AH15" s="44">
        <v>106199.26509589041</v>
      </c>
    </row>
    <row r="16" spans="2:34" x14ac:dyDescent="0.3">
      <c r="B16" s="19">
        <f t="shared" ref="B16:B17" si="14">+S16-J16</f>
        <v>6492.2000000000116</v>
      </c>
      <c r="C16" s="19">
        <f t="shared" si="2"/>
        <v>38553.679999999993</v>
      </c>
      <c r="D16" s="19">
        <f t="shared" si="3"/>
        <v>346983.12</v>
      </c>
      <c r="E16" s="29" t="s">
        <v>56</v>
      </c>
      <c r="F16" s="30" t="s">
        <v>160</v>
      </c>
      <c r="G16" s="30" t="s">
        <v>45</v>
      </c>
      <c r="H16" s="30"/>
      <c r="I16" s="31">
        <v>15.44</v>
      </c>
      <c r="J16" s="32">
        <f t="shared" si="8"/>
        <v>385536.8</v>
      </c>
      <c r="K16" s="33" t="s">
        <v>57</v>
      </c>
      <c r="L16" s="34">
        <v>44865</v>
      </c>
      <c r="M16" s="35">
        <v>24970</v>
      </c>
      <c r="N16" s="36">
        <f t="shared" si="9"/>
        <v>2946.46</v>
      </c>
      <c r="O16" s="37">
        <v>5000</v>
      </c>
      <c r="P16" s="30" t="s">
        <v>58</v>
      </c>
      <c r="Q16" s="38">
        <f t="shared" si="10"/>
        <v>15.758240288346014</v>
      </c>
      <c r="R16" s="39">
        <v>15.7</v>
      </c>
      <c r="S16" s="40">
        <f t="shared" si="11"/>
        <v>392029</v>
      </c>
      <c r="T16" s="41" t="s">
        <v>48</v>
      </c>
      <c r="U16" s="40">
        <f t="shared" si="12"/>
        <v>-5.8240288346015134E-2</v>
      </c>
      <c r="V16" s="40">
        <f t="shared" si="13"/>
        <v>-1454.2599999999979</v>
      </c>
      <c r="W16" s="40">
        <f t="shared" ref="W16" si="15">+MAX((1.5%*I16*M16),(V16*10%))</f>
        <v>5783.0519999999997</v>
      </c>
      <c r="X16" s="40">
        <f t="shared" si="4"/>
        <v>-7237.3119999999981</v>
      </c>
      <c r="Y16" s="42">
        <v>44526</v>
      </c>
      <c r="Z16" s="42">
        <v>44708</v>
      </c>
      <c r="AA16" s="43">
        <f t="shared" si="5"/>
        <v>182</v>
      </c>
      <c r="AB16" s="30"/>
      <c r="AC16" s="37">
        <f t="shared" si="6"/>
        <v>-5190.4872197260274</v>
      </c>
      <c r="AD16" s="40">
        <f>+(M16)*(I16*0.1)+N16+X16+AC16+O16+AB16</f>
        <v>34072.340780273975</v>
      </c>
      <c r="AE16" s="6">
        <v>44663</v>
      </c>
      <c r="AF16" s="44">
        <v>2085576.87</v>
      </c>
      <c r="AG16" s="6">
        <v>44680</v>
      </c>
      <c r="AH16" s="44">
        <v>119731.35527561643</v>
      </c>
    </row>
    <row r="17" spans="2:32" x14ac:dyDescent="0.3">
      <c r="B17" s="19">
        <f t="shared" si="14"/>
        <v>8200.8000000000029</v>
      </c>
      <c r="C17" s="19">
        <f t="shared" si="2"/>
        <v>9310.3199999999924</v>
      </c>
      <c r="D17" s="19">
        <f t="shared" si="3"/>
        <v>83792.88</v>
      </c>
      <c r="E17" s="29" t="s">
        <v>59</v>
      </c>
      <c r="F17" s="30" t="s">
        <v>160</v>
      </c>
      <c r="G17" s="30" t="s">
        <v>45</v>
      </c>
      <c r="H17" s="30"/>
      <c r="I17" s="31">
        <v>15.44</v>
      </c>
      <c r="J17" s="32">
        <f t="shared" si="8"/>
        <v>93103.2</v>
      </c>
      <c r="K17" s="33" t="s">
        <v>60</v>
      </c>
      <c r="L17" s="34">
        <v>44865</v>
      </c>
      <c r="M17" s="35">
        <v>6030</v>
      </c>
      <c r="N17" s="36">
        <f t="shared" si="9"/>
        <v>711.54</v>
      </c>
      <c r="O17" s="37">
        <v>1500</v>
      </c>
      <c r="P17" s="30" t="s">
        <v>61</v>
      </c>
      <c r="Q17" s="38">
        <f t="shared" si="10"/>
        <v>15.806756218905472</v>
      </c>
      <c r="R17" s="39">
        <v>16.8</v>
      </c>
      <c r="S17" s="40">
        <f t="shared" si="11"/>
        <v>101304</v>
      </c>
      <c r="T17" s="41" t="s">
        <v>48</v>
      </c>
      <c r="U17" s="40">
        <f t="shared" si="12"/>
        <v>0.99324378109452915</v>
      </c>
      <c r="V17" s="40">
        <f t="shared" si="13"/>
        <v>5989.2600000000111</v>
      </c>
      <c r="W17" s="40">
        <f>ROUND(+MAX((1.5%*I17*M17),(V17*10%)),2)</f>
        <v>1396.55</v>
      </c>
      <c r="X17" s="40">
        <f t="shared" si="4"/>
        <v>4592.710000000011</v>
      </c>
      <c r="Y17" s="42">
        <v>44526</v>
      </c>
      <c r="Z17" s="42">
        <v>44732</v>
      </c>
      <c r="AA17" s="43">
        <f t="shared" si="5"/>
        <v>206</v>
      </c>
      <c r="AB17" s="30"/>
      <c r="AC17" s="37">
        <f t="shared" si="6"/>
        <v>-1418.7397216438358</v>
      </c>
      <c r="AD17" s="40">
        <f>+(M17)*(I17*0.1)+N17+X17+AC17+O17+AB17</f>
        <v>14695.830278356174</v>
      </c>
      <c r="AE17" s="6">
        <v>44697</v>
      </c>
      <c r="AF17" s="44">
        <v>1356731.84</v>
      </c>
    </row>
    <row r="18" spans="2:32" x14ac:dyDescent="0.3">
      <c r="B18" s="19">
        <f>SUM(B14:B17)</f>
        <v>64639.880000000019</v>
      </c>
      <c r="C18" s="19">
        <f>SUM(C14:C17)</f>
        <v>126990.912</v>
      </c>
      <c r="D18" s="19">
        <f>SUM(D14:D17)</f>
        <v>1142918.2080000001</v>
      </c>
      <c r="J18" s="19">
        <f>SUM(J14:J17)</f>
        <v>1269909.1199999999</v>
      </c>
      <c r="N18" s="19">
        <f t="shared" ref="N18:O18" si="16">SUM(N14:N17)</f>
        <v>9705.2639999999992</v>
      </c>
      <c r="O18" s="19">
        <f t="shared" si="16"/>
        <v>18500</v>
      </c>
      <c r="S18" s="19">
        <f t="shared" ref="S18" si="17">SUM(S14:S17)</f>
        <v>1334549</v>
      </c>
      <c r="V18" s="20">
        <f t="shared" ref="V18:X18" si="18">SUM(V14:V17)</f>
        <v>36434.61600000006</v>
      </c>
      <c r="W18" s="20">
        <f t="shared" si="18"/>
        <v>19048.638799999997</v>
      </c>
      <c r="X18" s="20">
        <f t="shared" si="18"/>
        <v>17385.977200000063</v>
      </c>
      <c r="AC18" s="19">
        <f t="shared" ref="AC18:AD18" si="19">SUM(AC14:AC17)</f>
        <v>-11855.518974246574</v>
      </c>
      <c r="AD18" s="19">
        <f t="shared" si="19"/>
        <v>160726.63422575349</v>
      </c>
    </row>
    <row r="20" spans="2:32" x14ac:dyDescent="0.3">
      <c r="S20" s="19">
        <f>+J15+B15</f>
        <v>446216</v>
      </c>
    </row>
    <row r="21" spans="2:32" x14ac:dyDescent="0.3">
      <c r="N21" s="19">
        <f>+N15+O15+X15+W15</f>
        <v>40946.880000000012</v>
      </c>
    </row>
    <row r="22" spans="2:32" x14ac:dyDescent="0.3">
      <c r="W22" s="19"/>
    </row>
    <row r="23" spans="2:32" x14ac:dyDescent="0.3">
      <c r="W23" s="20"/>
    </row>
    <row r="24" spans="2:32" x14ac:dyDescent="0.3">
      <c r="F24" s="45"/>
      <c r="G24" s="46"/>
      <c r="I24" s="46"/>
    </row>
    <row r="25" spans="2:32" x14ac:dyDescent="0.3">
      <c r="F25" s="45"/>
      <c r="I25" s="46"/>
      <c r="X25" s="19">
        <f>N15+O15+X15+AC15</f>
        <v>29621.5511671233</v>
      </c>
    </row>
    <row r="26" spans="2:32" x14ac:dyDescent="0.3">
      <c r="F26" s="45"/>
      <c r="G26" s="46"/>
      <c r="I26" s="46"/>
      <c r="X26" s="19">
        <f>N16+O16+X16</f>
        <v>709.14800000000196</v>
      </c>
      <c r="Y26" t="s">
        <v>166</v>
      </c>
    </row>
    <row r="27" spans="2:32" x14ac:dyDescent="0.3">
      <c r="F27" s="45"/>
      <c r="G27" s="46"/>
      <c r="I27" s="46"/>
      <c r="J27" s="19">
        <f>J14*0.9</f>
        <v>347400</v>
      </c>
      <c r="T27" s="19"/>
      <c r="X27" s="19">
        <f t="shared" ref="X27" si="20">N17+O17+X17+AC17</f>
        <v>5385.5102783561751</v>
      </c>
    </row>
    <row r="28" spans="2:32" x14ac:dyDescent="0.3">
      <c r="F28" s="45"/>
      <c r="G28" s="46"/>
      <c r="I28" s="46"/>
      <c r="J28" s="19">
        <f>J15*0.9</f>
        <v>364742.20799999998</v>
      </c>
    </row>
    <row r="29" spans="2:32" x14ac:dyDescent="0.3">
      <c r="F29" s="45"/>
      <c r="G29" s="46"/>
      <c r="I29" s="46"/>
      <c r="J29" s="75">
        <f>SUM(J27:J28)</f>
        <v>712142.20799999998</v>
      </c>
    </row>
    <row r="30" spans="2:32" x14ac:dyDescent="0.3">
      <c r="G30" s="46"/>
      <c r="I30" s="46"/>
      <c r="J30" t="s">
        <v>167</v>
      </c>
    </row>
    <row r="31" spans="2:32" x14ac:dyDescent="0.3">
      <c r="G31" s="46"/>
      <c r="I31" s="46"/>
    </row>
    <row r="32" spans="2:32" x14ac:dyDescent="0.3">
      <c r="I32" s="46"/>
    </row>
    <row r="33" spans="6:11" x14ac:dyDescent="0.3">
      <c r="J33">
        <v>82248</v>
      </c>
      <c r="K33" t="s">
        <v>168</v>
      </c>
    </row>
    <row r="34" spans="6:11" x14ac:dyDescent="0.3">
      <c r="J34" s="76">
        <f>J29/J33</f>
        <v>8.658474467464254</v>
      </c>
    </row>
    <row r="35" spans="6:11" x14ac:dyDescent="0.3">
      <c r="F35" s="16"/>
      <c r="J35" s="77">
        <v>8.6584744674642504</v>
      </c>
    </row>
    <row r="36" spans="6:11" x14ac:dyDescent="0.3">
      <c r="F36" s="16"/>
    </row>
    <row r="37" spans="6:11" x14ac:dyDescent="0.3">
      <c r="F37" s="16"/>
    </row>
    <row r="38" spans="6:11" x14ac:dyDescent="0.3">
      <c r="F38" s="16"/>
    </row>
    <row r="39" spans="6:11" x14ac:dyDescent="0.3">
      <c r="F39" s="16"/>
    </row>
    <row r="40" spans="6:11" x14ac:dyDescent="0.3">
      <c r="F40" s="11"/>
    </row>
    <row r="41" spans="6:11" x14ac:dyDescent="0.3">
      <c r="F41" s="11"/>
    </row>
  </sheetData>
  <autoFilter ref="B13:AH17" xr:uid="{5DBA06A2-61E0-4B83-8800-27A012230369}"/>
  <mergeCells count="1">
    <mergeCell ref="M9:N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anticipo</vt:lpstr>
      <vt:lpstr>mayor</vt:lpstr>
      <vt:lpstr>Hoja3</vt:lpstr>
      <vt:lpstr>FFR10</vt:lpstr>
      <vt:lpstr>CASO PRUEBA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Fanny Terrones</dc:creator>
  <cp:lastModifiedBy>Juana Carrasco (OSF-CAL)</cp:lastModifiedBy>
  <cp:lastPrinted>2022-05-18T03:09:51Z</cp:lastPrinted>
  <dcterms:created xsi:type="dcterms:W3CDTF">2022-05-16T21:23:45Z</dcterms:created>
  <dcterms:modified xsi:type="dcterms:W3CDTF">2022-11-09T22:17:10Z</dcterms:modified>
</cp:coreProperties>
</file>