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295" documentId="13_ncr:1_{418AD7F5-1D1A-49E7-BD08-83897DB364ED}" xr6:coauthVersionLast="47" xr6:coauthVersionMax="47" xr10:uidLastSave="{76542D4A-D7D8-40B4-9B92-3CDADDFC7D0C}"/>
  <bookViews>
    <workbookView xWindow="-120" yWindow="-120" windowWidth="20730" windowHeight="11160" tabRatio="723" firstSheet="35" activeTab="46" xr2:uid="{00000000-000D-0000-FFFF-FFFF00000000}"/>
  </bookViews>
  <sheets>
    <sheet name="01-11" sheetId="1336" r:id="rId1"/>
    <sheet name="02-11 " sheetId="1337" r:id="rId2"/>
    <sheet name="03-11 " sheetId="1338" r:id="rId3"/>
    <sheet name="04-11" sheetId="1339" r:id="rId4"/>
    <sheet name="05-11 " sheetId="1340" r:id="rId5"/>
    <sheet name="06-11 " sheetId="1341" r:id="rId6"/>
    <sheet name="07-11 " sheetId="1342" r:id="rId7"/>
    <sheet name="08-11 " sheetId="1343" r:id="rId8"/>
    <sheet name="09-11 " sheetId="1344" r:id="rId9"/>
    <sheet name="10-11 " sheetId="1345" r:id="rId10"/>
    <sheet name="11-11  " sheetId="1346" r:id="rId11"/>
    <sheet name="12-11  " sheetId="1347" r:id="rId12"/>
    <sheet name="13 -11   " sheetId="1348" r:id="rId13"/>
    <sheet name="14 -11    " sheetId="1349" r:id="rId14"/>
    <sheet name="15 -11 " sheetId="1350" r:id="rId15"/>
    <sheet name="16 -11 " sheetId="1351" r:id="rId16"/>
    <sheet name="17 -11" sheetId="1352" r:id="rId17"/>
    <sheet name="18 -11 " sheetId="1353" r:id="rId18"/>
    <sheet name="19 -11 " sheetId="1354" r:id="rId19"/>
    <sheet name="20 -11 " sheetId="1355" r:id="rId20"/>
    <sheet name="21 -11" sheetId="1356" r:id="rId21"/>
    <sheet name="22 -11 " sheetId="1357" r:id="rId22"/>
    <sheet name="23 -11  " sheetId="1358" r:id="rId23"/>
    <sheet name="24 -11  " sheetId="1359" r:id="rId24"/>
    <sheet name="25 -11" sheetId="1360" r:id="rId25"/>
    <sheet name="26 -11" sheetId="1361" r:id="rId26"/>
    <sheet name="27 -11 " sheetId="1362" r:id="rId27"/>
    <sheet name="28 -11" sheetId="1363" r:id="rId28"/>
    <sheet name="29 -11 " sheetId="1364" r:id="rId29"/>
    <sheet name="30 -11 " sheetId="1365" r:id="rId30"/>
    <sheet name="01-12" sheetId="1366" r:id="rId31"/>
    <sheet name="02-12 " sheetId="1367" r:id="rId32"/>
    <sheet name="03-12 " sheetId="1368" r:id="rId33"/>
    <sheet name="04-12 " sheetId="1369" r:id="rId34"/>
    <sheet name="05-12 " sheetId="1370" r:id="rId35"/>
    <sheet name="06-12  " sheetId="1371" r:id="rId36"/>
    <sheet name="07-12  " sheetId="1372" r:id="rId37"/>
    <sheet name="08-12  " sheetId="1373" r:id="rId38"/>
    <sheet name="09-12  " sheetId="1374" r:id="rId39"/>
    <sheet name="10-12  " sheetId="1375" r:id="rId40"/>
    <sheet name="11-12  " sheetId="1376" r:id="rId41"/>
    <sheet name="12-12  " sheetId="1377" r:id="rId42"/>
    <sheet name="13-12 " sheetId="1378" r:id="rId43"/>
    <sheet name="14-12 " sheetId="1379" r:id="rId44"/>
    <sheet name="15-12" sheetId="1380" r:id="rId45"/>
    <sheet name="16-12" sheetId="1381" r:id="rId46"/>
    <sheet name="17-12 " sheetId="1382" r:id="rId4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382" l="1"/>
  <c r="J33" i="1382"/>
  <c r="M32" i="1382"/>
  <c r="K32" i="1382"/>
  <c r="G32" i="1382"/>
  <c r="I32" i="1382" s="1"/>
  <c r="G31" i="1382"/>
  <c r="I31" i="1382" s="1"/>
  <c r="I30" i="1382"/>
  <c r="G30" i="1382"/>
  <c r="I29" i="1382"/>
  <c r="G29" i="1382"/>
  <c r="G28" i="1382"/>
  <c r="I28" i="1382" s="1"/>
  <c r="G27" i="1382"/>
  <c r="I27" i="1382" s="1"/>
  <c r="I26" i="1382"/>
  <c r="G26" i="1382"/>
  <c r="M25" i="1382"/>
  <c r="K25" i="1382"/>
  <c r="G25" i="1382"/>
  <c r="I25" i="1382" s="1"/>
  <c r="K24" i="1382"/>
  <c r="M24" i="1382" s="1"/>
  <c r="M33" i="1382" s="1"/>
  <c r="I24" i="1382"/>
  <c r="G24" i="1382"/>
  <c r="I23" i="1382"/>
  <c r="G23" i="1382"/>
  <c r="G22" i="1382"/>
  <c r="I22" i="1382" s="1"/>
  <c r="G21" i="1382"/>
  <c r="I21" i="1382" s="1"/>
  <c r="I20" i="1382"/>
  <c r="G20" i="1382"/>
  <c r="H14" i="1382"/>
  <c r="G14" i="1382"/>
  <c r="E14" i="1382"/>
  <c r="G13" i="1382"/>
  <c r="H13" i="1382" s="1"/>
  <c r="E13" i="1382"/>
  <c r="H12" i="1382"/>
  <c r="G12" i="1382"/>
  <c r="E12" i="1382"/>
  <c r="G11" i="1382"/>
  <c r="H11" i="1382" s="1"/>
  <c r="E11" i="1382"/>
  <c r="G10" i="1382"/>
  <c r="H10" i="1382" s="1"/>
  <c r="E10" i="1382"/>
  <c r="G9" i="1382"/>
  <c r="H9" i="1382" s="1"/>
  <c r="E9" i="1382"/>
  <c r="G8" i="1382"/>
  <c r="H8" i="1382" s="1"/>
  <c r="E8" i="1382"/>
  <c r="H7" i="1382"/>
  <c r="G7" i="1382"/>
  <c r="E7" i="1382"/>
  <c r="H6" i="1382"/>
  <c r="G6" i="1382"/>
  <c r="E6" i="1382"/>
  <c r="K25" i="1381"/>
  <c r="M25" i="1381" s="1"/>
  <c r="L33" i="1381"/>
  <c r="J33" i="1381"/>
  <c r="K32" i="1381"/>
  <c r="M32" i="1381" s="1"/>
  <c r="G32" i="1381"/>
  <c r="I32" i="1381" s="1"/>
  <c r="G31" i="1381"/>
  <c r="I31" i="1381" s="1"/>
  <c r="G30" i="1381"/>
  <c r="I30" i="1381" s="1"/>
  <c r="G29" i="1381"/>
  <c r="I29" i="1381" s="1"/>
  <c r="G28" i="1381"/>
  <c r="I28" i="1381" s="1"/>
  <c r="G27" i="1381"/>
  <c r="I27" i="1381" s="1"/>
  <c r="G26" i="1381"/>
  <c r="I26" i="1381" s="1"/>
  <c r="G25" i="1381"/>
  <c r="I25" i="1381" s="1"/>
  <c r="K24" i="1381"/>
  <c r="M24" i="1381" s="1"/>
  <c r="G24" i="1381"/>
  <c r="I24" i="1381" s="1"/>
  <c r="G23" i="1381"/>
  <c r="I23" i="1381" s="1"/>
  <c r="G22" i="1381"/>
  <c r="I22" i="1381" s="1"/>
  <c r="G21" i="1381"/>
  <c r="I21" i="1381" s="1"/>
  <c r="G20" i="1381"/>
  <c r="I20" i="1381" s="1"/>
  <c r="G14" i="1381"/>
  <c r="H14" i="1381" s="1"/>
  <c r="E14" i="1381"/>
  <c r="H13" i="1381"/>
  <c r="G13" i="1381"/>
  <c r="E13" i="1381"/>
  <c r="H12" i="1381"/>
  <c r="G12" i="1381"/>
  <c r="E12" i="1381"/>
  <c r="G11" i="1381"/>
  <c r="H11" i="1381" s="1"/>
  <c r="E11" i="1381"/>
  <c r="G10" i="1381"/>
  <c r="H10" i="1381" s="1"/>
  <c r="E10" i="1381"/>
  <c r="G9" i="1381"/>
  <c r="H9" i="1381" s="1"/>
  <c r="E9" i="1381"/>
  <c r="H8" i="1381"/>
  <c r="G8" i="1381"/>
  <c r="E8" i="1381"/>
  <c r="G7" i="1381"/>
  <c r="H7" i="1381" s="1"/>
  <c r="E7" i="1381"/>
  <c r="G6" i="1381"/>
  <c r="H6" i="1381" s="1"/>
  <c r="E6" i="1381"/>
  <c r="K24" i="1380"/>
  <c r="M24" i="1380" s="1"/>
  <c r="K32" i="1380"/>
  <c r="M32" i="1380" s="1"/>
  <c r="L33" i="1380"/>
  <c r="J33" i="1380"/>
  <c r="G32" i="1380"/>
  <c r="I32" i="1380" s="1"/>
  <c r="G31" i="1380"/>
  <c r="I31" i="1380" s="1"/>
  <c r="G30" i="1380"/>
  <c r="I30" i="1380" s="1"/>
  <c r="G29" i="1380"/>
  <c r="I29" i="1380" s="1"/>
  <c r="G28" i="1380"/>
  <c r="I28" i="1380" s="1"/>
  <c r="G27" i="1380"/>
  <c r="I27" i="1380" s="1"/>
  <c r="G26" i="1380"/>
  <c r="I26" i="1380" s="1"/>
  <c r="K25" i="1380"/>
  <c r="M25" i="1380" s="1"/>
  <c r="G25" i="1380"/>
  <c r="I25" i="1380" s="1"/>
  <c r="G24" i="1380"/>
  <c r="I24" i="1380" s="1"/>
  <c r="G23" i="1380"/>
  <c r="I23" i="1380" s="1"/>
  <c r="G22" i="1380"/>
  <c r="I22" i="1380" s="1"/>
  <c r="G21" i="1380"/>
  <c r="I21" i="1380" s="1"/>
  <c r="G20" i="1380"/>
  <c r="I20" i="1380" s="1"/>
  <c r="G14" i="1380"/>
  <c r="H14" i="1380" s="1"/>
  <c r="E14" i="1380"/>
  <c r="G13" i="1380"/>
  <c r="H13" i="1380" s="1"/>
  <c r="E13" i="1380"/>
  <c r="G12" i="1380"/>
  <c r="H12" i="1380" s="1"/>
  <c r="E12" i="1380"/>
  <c r="H11" i="1380"/>
  <c r="G11" i="1380"/>
  <c r="E11" i="1380"/>
  <c r="G10" i="1380"/>
  <c r="H10" i="1380" s="1"/>
  <c r="E10" i="1380"/>
  <c r="G9" i="1380"/>
  <c r="H9" i="1380" s="1"/>
  <c r="E9" i="1380"/>
  <c r="G8" i="1380"/>
  <c r="H8" i="1380" s="1"/>
  <c r="E8" i="1380"/>
  <c r="G7" i="1380"/>
  <c r="H7" i="1380" s="1"/>
  <c r="E7" i="1380"/>
  <c r="G6" i="1380"/>
  <c r="H6" i="1380" s="1"/>
  <c r="E6" i="1380"/>
  <c r="I33" i="1382" l="1"/>
  <c r="K33" i="1382"/>
  <c r="M33" i="1381"/>
  <c r="I33" i="1381"/>
  <c r="K33" i="1381"/>
  <c r="M33" i="1380"/>
  <c r="I33" i="1380"/>
  <c r="K33" i="1380"/>
  <c r="K25" i="1379" l="1"/>
  <c r="M25" i="1379" s="1"/>
  <c r="L33" i="1379"/>
  <c r="J33" i="1379"/>
  <c r="K32" i="1379"/>
  <c r="M32" i="1379" s="1"/>
  <c r="G32" i="1379"/>
  <c r="I32" i="1379" s="1"/>
  <c r="G31" i="1379"/>
  <c r="I31" i="1379" s="1"/>
  <c r="G30" i="1379"/>
  <c r="I30" i="1379" s="1"/>
  <c r="G29" i="1379"/>
  <c r="I29" i="1379" s="1"/>
  <c r="G28" i="1379"/>
  <c r="I28" i="1379" s="1"/>
  <c r="G27" i="1379"/>
  <c r="I27" i="1379" s="1"/>
  <c r="G26" i="1379"/>
  <c r="I26" i="1379" s="1"/>
  <c r="G25" i="1379"/>
  <c r="I25" i="1379" s="1"/>
  <c r="K24" i="1379"/>
  <c r="G24" i="1379"/>
  <c r="I24" i="1379" s="1"/>
  <c r="G23" i="1379"/>
  <c r="I23" i="1379" s="1"/>
  <c r="G22" i="1379"/>
  <c r="I22" i="1379" s="1"/>
  <c r="G21" i="1379"/>
  <c r="I21" i="1379" s="1"/>
  <c r="G20" i="1379"/>
  <c r="I20" i="1379" s="1"/>
  <c r="G14" i="1379"/>
  <c r="H14" i="1379" s="1"/>
  <c r="E14" i="1379"/>
  <c r="G13" i="1379"/>
  <c r="H13" i="1379" s="1"/>
  <c r="E13" i="1379"/>
  <c r="G12" i="1379"/>
  <c r="H12" i="1379" s="1"/>
  <c r="E12" i="1379"/>
  <c r="G11" i="1379"/>
  <c r="H11" i="1379" s="1"/>
  <c r="E11" i="1379"/>
  <c r="G10" i="1379"/>
  <c r="H10" i="1379" s="1"/>
  <c r="E10" i="1379"/>
  <c r="G9" i="1379"/>
  <c r="H9" i="1379" s="1"/>
  <c r="E9" i="1379"/>
  <c r="G8" i="1379"/>
  <c r="H8" i="1379" s="1"/>
  <c r="E8" i="1379"/>
  <c r="G7" i="1379"/>
  <c r="H7" i="1379" s="1"/>
  <c r="E7" i="1379"/>
  <c r="H6" i="1379"/>
  <c r="G6" i="1379"/>
  <c r="E6" i="1379"/>
  <c r="K32" i="1378"/>
  <c r="M32" i="1378" s="1"/>
  <c r="K25" i="1378"/>
  <c r="M25" i="1378" s="1"/>
  <c r="K24" i="1378"/>
  <c r="E8" i="1378"/>
  <c r="E9" i="1378"/>
  <c r="L33" i="1378"/>
  <c r="J33" i="1378"/>
  <c r="G32" i="1378"/>
  <c r="I32" i="1378" s="1"/>
  <c r="G31" i="1378"/>
  <c r="I31" i="1378" s="1"/>
  <c r="G30" i="1378"/>
  <c r="I30" i="1378" s="1"/>
  <c r="G29" i="1378"/>
  <c r="I29" i="1378" s="1"/>
  <c r="G28" i="1378"/>
  <c r="I28" i="1378" s="1"/>
  <c r="G27" i="1378"/>
  <c r="I27" i="1378" s="1"/>
  <c r="G26" i="1378"/>
  <c r="I26" i="1378" s="1"/>
  <c r="G25" i="1378"/>
  <c r="I25" i="1378" s="1"/>
  <c r="M24" i="1378"/>
  <c r="G24" i="1378"/>
  <c r="I24" i="1378" s="1"/>
  <c r="G23" i="1378"/>
  <c r="I23" i="1378" s="1"/>
  <c r="G22" i="1378"/>
  <c r="I22" i="1378" s="1"/>
  <c r="G21" i="1378"/>
  <c r="I21" i="1378" s="1"/>
  <c r="I20" i="1378"/>
  <c r="G20" i="1378"/>
  <c r="G14" i="1378"/>
  <c r="H14" i="1378" s="1"/>
  <c r="E14" i="1378"/>
  <c r="H13" i="1378"/>
  <c r="G13" i="1378"/>
  <c r="E13" i="1378"/>
  <c r="G12" i="1378"/>
  <c r="H12" i="1378" s="1"/>
  <c r="E12" i="1378"/>
  <c r="G11" i="1378"/>
  <c r="H11" i="1378" s="1"/>
  <c r="E11" i="1378"/>
  <c r="G10" i="1378"/>
  <c r="H10" i="1378" s="1"/>
  <c r="E10" i="1378"/>
  <c r="G9" i="1378"/>
  <c r="H9" i="1378" s="1"/>
  <c r="G8" i="1378"/>
  <c r="H8" i="1378" s="1"/>
  <c r="G7" i="1378"/>
  <c r="H7" i="1378" s="1"/>
  <c r="E7" i="1378"/>
  <c r="G6" i="1378"/>
  <c r="H6" i="1378" s="1"/>
  <c r="E6" i="1378"/>
  <c r="E9" i="1377"/>
  <c r="E8" i="1377"/>
  <c r="L33" i="1377"/>
  <c r="J33" i="1377"/>
  <c r="K32" i="1377"/>
  <c r="M32" i="1377" s="1"/>
  <c r="G32" i="1377"/>
  <c r="I32" i="1377" s="1"/>
  <c r="G31" i="1377"/>
  <c r="I31" i="1377" s="1"/>
  <c r="G30" i="1377"/>
  <c r="I30" i="1377" s="1"/>
  <c r="I29" i="1377"/>
  <c r="G29" i="1377"/>
  <c r="G28" i="1377"/>
  <c r="I28" i="1377" s="1"/>
  <c r="G27" i="1377"/>
  <c r="I27" i="1377" s="1"/>
  <c r="G26" i="1377"/>
  <c r="I26" i="1377" s="1"/>
  <c r="K25" i="1377"/>
  <c r="M25" i="1377" s="1"/>
  <c r="G25" i="1377"/>
  <c r="I25" i="1377" s="1"/>
  <c r="K24" i="1377"/>
  <c r="M24" i="1377" s="1"/>
  <c r="G24" i="1377"/>
  <c r="I24" i="1377" s="1"/>
  <c r="G23" i="1377"/>
  <c r="I23" i="1377" s="1"/>
  <c r="G22" i="1377"/>
  <c r="I22" i="1377" s="1"/>
  <c r="G21" i="1377"/>
  <c r="I21" i="1377" s="1"/>
  <c r="G20" i="1377"/>
  <c r="I20" i="1377" s="1"/>
  <c r="G14" i="1377"/>
  <c r="H14" i="1377" s="1"/>
  <c r="E14" i="1377"/>
  <c r="H13" i="1377"/>
  <c r="G13" i="1377"/>
  <c r="E13" i="1377"/>
  <c r="G12" i="1377"/>
  <c r="H12" i="1377" s="1"/>
  <c r="E12" i="1377"/>
  <c r="G11" i="1377"/>
  <c r="H11" i="1377" s="1"/>
  <c r="E11" i="1377"/>
  <c r="G10" i="1377"/>
  <c r="H10" i="1377" s="1"/>
  <c r="E10" i="1377"/>
  <c r="H9" i="1377"/>
  <c r="G9" i="1377"/>
  <c r="G8" i="1377"/>
  <c r="H8" i="1377" s="1"/>
  <c r="G7" i="1377"/>
  <c r="H7" i="1377" s="1"/>
  <c r="E7" i="1377"/>
  <c r="G6" i="1377"/>
  <c r="H6" i="1377" s="1"/>
  <c r="E6" i="1377"/>
  <c r="L33" i="1376"/>
  <c r="J33" i="1376"/>
  <c r="M32" i="1376"/>
  <c r="K32" i="1376"/>
  <c r="I32" i="1376"/>
  <c r="G32" i="1376"/>
  <c r="G31" i="1376"/>
  <c r="I31" i="1376" s="1"/>
  <c r="G30" i="1376"/>
  <c r="I30" i="1376" s="1"/>
  <c r="I29" i="1376"/>
  <c r="G29" i="1376"/>
  <c r="I28" i="1376"/>
  <c r="G28" i="1376"/>
  <c r="G27" i="1376"/>
  <c r="I27" i="1376" s="1"/>
  <c r="G26" i="1376"/>
  <c r="I26" i="1376" s="1"/>
  <c r="M25" i="1376"/>
  <c r="K25" i="1376"/>
  <c r="I25" i="1376"/>
  <c r="G25" i="1376"/>
  <c r="K24" i="1376"/>
  <c r="M24" i="1376" s="1"/>
  <c r="M33" i="1376" s="1"/>
  <c r="G24" i="1376"/>
  <c r="I24" i="1376" s="1"/>
  <c r="I23" i="1376"/>
  <c r="G23" i="1376"/>
  <c r="I22" i="1376"/>
  <c r="G22" i="1376"/>
  <c r="G21" i="1376"/>
  <c r="I21" i="1376" s="1"/>
  <c r="G20" i="1376"/>
  <c r="I20" i="1376" s="1"/>
  <c r="H14" i="1376"/>
  <c r="G14" i="1376"/>
  <c r="E14" i="1376"/>
  <c r="H13" i="1376"/>
  <c r="G13" i="1376"/>
  <c r="E13" i="1376"/>
  <c r="G12" i="1376"/>
  <c r="H12" i="1376" s="1"/>
  <c r="E12" i="1376"/>
  <c r="G11" i="1376"/>
  <c r="H11" i="1376" s="1"/>
  <c r="E11" i="1376"/>
  <c r="G10" i="1376"/>
  <c r="H10" i="1376" s="1"/>
  <c r="E10" i="1376"/>
  <c r="H9" i="1376"/>
  <c r="G9" i="1376"/>
  <c r="E9" i="1376"/>
  <c r="H8" i="1376"/>
  <c r="G8" i="1376"/>
  <c r="E8" i="1376"/>
  <c r="H7" i="1376"/>
  <c r="G7" i="1376"/>
  <c r="E7" i="1376"/>
  <c r="H6" i="1376"/>
  <c r="G6" i="1376"/>
  <c r="E6" i="1376"/>
  <c r="L33" i="1375"/>
  <c r="J33" i="1375"/>
  <c r="M32" i="1375"/>
  <c r="K32" i="1375"/>
  <c r="G32" i="1375"/>
  <c r="I32" i="1375" s="1"/>
  <c r="G31" i="1375"/>
  <c r="I31" i="1375" s="1"/>
  <c r="G30" i="1375"/>
  <c r="I30" i="1375" s="1"/>
  <c r="I29" i="1375"/>
  <c r="G29" i="1375"/>
  <c r="I28" i="1375"/>
  <c r="G28" i="1375"/>
  <c r="I27" i="1375"/>
  <c r="G27" i="1375"/>
  <c r="I26" i="1375"/>
  <c r="G26" i="1375"/>
  <c r="M25" i="1375"/>
  <c r="K25" i="1375"/>
  <c r="I25" i="1375"/>
  <c r="G25" i="1375"/>
  <c r="M24" i="1375"/>
  <c r="M33" i="1375" s="1"/>
  <c r="K24" i="1375"/>
  <c r="K33" i="1375" s="1"/>
  <c r="I24" i="1375"/>
  <c r="G24" i="1375"/>
  <c r="I23" i="1375"/>
  <c r="G23" i="1375"/>
  <c r="I22" i="1375"/>
  <c r="G22" i="1375"/>
  <c r="I21" i="1375"/>
  <c r="G21" i="1375"/>
  <c r="I20" i="1375"/>
  <c r="I33" i="1375" s="1"/>
  <c r="G20" i="1375"/>
  <c r="H14" i="1375"/>
  <c r="G14" i="1375"/>
  <c r="E14" i="1375"/>
  <c r="G13" i="1375"/>
  <c r="H13" i="1375" s="1"/>
  <c r="E13" i="1375"/>
  <c r="H12" i="1375"/>
  <c r="G12" i="1375"/>
  <c r="E12" i="1375"/>
  <c r="G11" i="1375"/>
  <c r="H11" i="1375" s="1"/>
  <c r="E11" i="1375"/>
  <c r="H10" i="1375"/>
  <c r="G10" i="1375"/>
  <c r="E10" i="1375"/>
  <c r="H9" i="1375"/>
  <c r="G9" i="1375"/>
  <c r="E9" i="1375"/>
  <c r="H8" i="1375"/>
  <c r="G8" i="1375"/>
  <c r="E8" i="1375"/>
  <c r="G7" i="1375"/>
  <c r="H7" i="1375" s="1"/>
  <c r="E7" i="1375"/>
  <c r="G6" i="1375"/>
  <c r="H6" i="1375" s="1"/>
  <c r="E6" i="1375"/>
  <c r="L33" i="1374"/>
  <c r="J33" i="1374"/>
  <c r="K32" i="1374"/>
  <c r="M32" i="1374" s="1"/>
  <c r="G32" i="1374"/>
  <c r="I32" i="1374" s="1"/>
  <c r="G31" i="1374"/>
  <c r="I31" i="1374" s="1"/>
  <c r="G30" i="1374"/>
  <c r="I30" i="1374" s="1"/>
  <c r="G29" i="1374"/>
  <c r="I29" i="1374" s="1"/>
  <c r="G28" i="1374"/>
  <c r="I28" i="1374" s="1"/>
  <c r="G27" i="1374"/>
  <c r="I27" i="1374" s="1"/>
  <c r="G26" i="1374"/>
  <c r="I26" i="1374" s="1"/>
  <c r="K25" i="1374"/>
  <c r="M25" i="1374" s="1"/>
  <c r="G25" i="1374"/>
  <c r="I25" i="1374" s="1"/>
  <c r="K24" i="1374"/>
  <c r="M24" i="1374" s="1"/>
  <c r="M33" i="1374" s="1"/>
  <c r="G24" i="1374"/>
  <c r="I24" i="1374" s="1"/>
  <c r="G23" i="1374"/>
  <c r="I23" i="1374" s="1"/>
  <c r="G22" i="1374"/>
  <c r="I22" i="1374" s="1"/>
  <c r="G21" i="1374"/>
  <c r="I21" i="1374" s="1"/>
  <c r="G20" i="1374"/>
  <c r="I20" i="1374" s="1"/>
  <c r="G14" i="1374"/>
  <c r="H14" i="1374" s="1"/>
  <c r="E14" i="1374"/>
  <c r="H13" i="1374"/>
  <c r="G13" i="1374"/>
  <c r="E13" i="1374"/>
  <c r="G12" i="1374"/>
  <c r="H12" i="1374" s="1"/>
  <c r="E12" i="1374"/>
  <c r="H11" i="1374"/>
  <c r="G11" i="1374"/>
  <c r="E11" i="1374"/>
  <c r="G10" i="1374"/>
  <c r="H10" i="1374" s="1"/>
  <c r="E10" i="1374"/>
  <c r="H9" i="1374"/>
  <c r="G9" i="1374"/>
  <c r="E9" i="1374"/>
  <c r="G8" i="1374"/>
  <c r="H8" i="1374" s="1"/>
  <c r="E8" i="1374"/>
  <c r="H7" i="1374"/>
  <c r="G7" i="1374"/>
  <c r="E7" i="1374"/>
  <c r="G6" i="1374"/>
  <c r="H6" i="1374" s="1"/>
  <c r="E6" i="1374"/>
  <c r="K25" i="1373"/>
  <c r="M25" i="1373" s="1"/>
  <c r="L33" i="1373"/>
  <c r="J33" i="1373"/>
  <c r="M32" i="1373"/>
  <c r="K32" i="1373"/>
  <c r="I32" i="1373"/>
  <c r="G32" i="1373"/>
  <c r="G31" i="1373"/>
  <c r="I31" i="1373" s="1"/>
  <c r="G30" i="1373"/>
  <c r="I30" i="1373" s="1"/>
  <c r="G29" i="1373"/>
  <c r="I29" i="1373" s="1"/>
  <c r="I28" i="1373"/>
  <c r="G28" i="1373"/>
  <c r="G27" i="1373"/>
  <c r="I27" i="1373" s="1"/>
  <c r="G26" i="1373"/>
  <c r="I26" i="1373" s="1"/>
  <c r="I25" i="1373"/>
  <c r="G25" i="1373"/>
  <c r="M24" i="1373"/>
  <c r="K24" i="1373"/>
  <c r="I24" i="1373"/>
  <c r="G24" i="1373"/>
  <c r="G23" i="1373"/>
  <c r="I23" i="1373" s="1"/>
  <c r="I22" i="1373"/>
  <c r="G22" i="1373"/>
  <c r="G21" i="1373"/>
  <c r="I21" i="1373" s="1"/>
  <c r="I20" i="1373"/>
  <c r="G20" i="1373"/>
  <c r="H14" i="1373"/>
  <c r="G14" i="1373"/>
  <c r="E14" i="1373"/>
  <c r="G13" i="1373"/>
  <c r="H13" i="1373" s="1"/>
  <c r="E13" i="1373"/>
  <c r="H12" i="1373"/>
  <c r="G12" i="1373"/>
  <c r="E12" i="1373"/>
  <c r="G11" i="1373"/>
  <c r="H11" i="1373" s="1"/>
  <c r="E11" i="1373"/>
  <c r="H10" i="1373"/>
  <c r="G10" i="1373"/>
  <c r="E10" i="1373"/>
  <c r="G9" i="1373"/>
  <c r="H9" i="1373" s="1"/>
  <c r="E9" i="1373"/>
  <c r="G8" i="1373"/>
  <c r="H8" i="1373" s="1"/>
  <c r="E8" i="1373"/>
  <c r="H7" i="1373"/>
  <c r="G7" i="1373"/>
  <c r="E7" i="1373"/>
  <c r="H6" i="1373"/>
  <c r="G6" i="1373"/>
  <c r="E6" i="1373"/>
  <c r="M24" i="1372"/>
  <c r="K25" i="1372"/>
  <c r="M25" i="1372" s="1"/>
  <c r="M33" i="1372" s="1"/>
  <c r="K24" i="1372"/>
  <c r="L33" i="1372"/>
  <c r="J33" i="1372"/>
  <c r="K32" i="1372"/>
  <c r="M32" i="1372" s="1"/>
  <c r="G32" i="1372"/>
  <c r="I32" i="1372" s="1"/>
  <c r="G31" i="1372"/>
  <c r="I31" i="1372" s="1"/>
  <c r="G30" i="1372"/>
  <c r="I30" i="1372" s="1"/>
  <c r="G29" i="1372"/>
  <c r="I29" i="1372" s="1"/>
  <c r="G28" i="1372"/>
  <c r="I28" i="1372" s="1"/>
  <c r="G27" i="1372"/>
  <c r="I27" i="1372" s="1"/>
  <c r="G26" i="1372"/>
  <c r="I26" i="1372" s="1"/>
  <c r="G25" i="1372"/>
  <c r="I25" i="1372" s="1"/>
  <c r="G24" i="1372"/>
  <c r="I24" i="1372" s="1"/>
  <c r="I23" i="1372"/>
  <c r="G23" i="1372"/>
  <c r="G22" i="1372"/>
  <c r="I22" i="1372" s="1"/>
  <c r="I21" i="1372"/>
  <c r="G21" i="1372"/>
  <c r="G20" i="1372"/>
  <c r="I20" i="1372" s="1"/>
  <c r="G14" i="1372"/>
  <c r="H14" i="1372" s="1"/>
  <c r="E14" i="1372"/>
  <c r="H13" i="1372"/>
  <c r="G13" i="1372"/>
  <c r="E13" i="1372"/>
  <c r="H12" i="1372"/>
  <c r="G12" i="1372"/>
  <c r="E12" i="1372"/>
  <c r="G11" i="1372"/>
  <c r="H11" i="1372" s="1"/>
  <c r="E11" i="1372"/>
  <c r="H10" i="1372"/>
  <c r="G10" i="1372"/>
  <c r="E10" i="1372"/>
  <c r="G9" i="1372"/>
  <c r="H9" i="1372" s="1"/>
  <c r="E9" i="1372"/>
  <c r="G8" i="1372"/>
  <c r="H8" i="1372" s="1"/>
  <c r="E8" i="1372"/>
  <c r="G7" i="1372"/>
  <c r="H7" i="1372" s="1"/>
  <c r="E7" i="1372"/>
  <c r="H6" i="1372"/>
  <c r="G6" i="1372"/>
  <c r="E6" i="1372"/>
  <c r="K24" i="1371"/>
  <c r="M32" i="1371"/>
  <c r="M25" i="1371"/>
  <c r="L33" i="1371"/>
  <c r="G28" i="1371"/>
  <c r="I28" i="1371" s="1"/>
  <c r="K32" i="1371"/>
  <c r="K25" i="1371"/>
  <c r="J33" i="1371"/>
  <c r="G32" i="1371"/>
  <c r="I32" i="1371" s="1"/>
  <c r="G31" i="1371"/>
  <c r="I31" i="1371" s="1"/>
  <c r="G30" i="1371"/>
  <c r="I30" i="1371" s="1"/>
  <c r="G29" i="1371"/>
  <c r="I29" i="1371" s="1"/>
  <c r="G27" i="1371"/>
  <c r="I27" i="1371" s="1"/>
  <c r="G26" i="1371"/>
  <c r="I26" i="1371" s="1"/>
  <c r="G25" i="1371"/>
  <c r="I25" i="1371" s="1"/>
  <c r="G24" i="1371"/>
  <c r="I24" i="1371" s="1"/>
  <c r="G23" i="1371"/>
  <c r="I23" i="1371" s="1"/>
  <c r="G22" i="1371"/>
  <c r="I22" i="1371" s="1"/>
  <c r="G21" i="1371"/>
  <c r="I21" i="1371" s="1"/>
  <c r="G20" i="1371"/>
  <c r="I20" i="1371" s="1"/>
  <c r="G14" i="1371"/>
  <c r="H14" i="1371" s="1"/>
  <c r="E14" i="1371"/>
  <c r="G13" i="1371"/>
  <c r="H13" i="1371" s="1"/>
  <c r="E13" i="1371"/>
  <c r="G12" i="1371"/>
  <c r="H12" i="1371" s="1"/>
  <c r="E12" i="1371"/>
  <c r="G11" i="1371"/>
  <c r="H11" i="1371" s="1"/>
  <c r="E11" i="1371"/>
  <c r="G10" i="1371"/>
  <c r="H10" i="1371" s="1"/>
  <c r="E10" i="1371"/>
  <c r="G9" i="1371"/>
  <c r="H9" i="1371" s="1"/>
  <c r="E9" i="1371"/>
  <c r="G8" i="1371"/>
  <c r="H8" i="1371" s="1"/>
  <c r="E8" i="1371"/>
  <c r="G7" i="1371"/>
  <c r="H7" i="1371" s="1"/>
  <c r="E7" i="1371"/>
  <c r="G6" i="1371"/>
  <c r="H6" i="1371" s="1"/>
  <c r="E6" i="1371"/>
  <c r="K25" i="1370"/>
  <c r="L35" i="1370"/>
  <c r="J35" i="1370"/>
  <c r="K34" i="1370"/>
  <c r="G34" i="1370"/>
  <c r="I34" i="1370" s="1"/>
  <c r="M33" i="1370"/>
  <c r="K33" i="1370"/>
  <c r="I33" i="1370"/>
  <c r="G33" i="1370"/>
  <c r="M32" i="1370"/>
  <c r="K32" i="1370"/>
  <c r="I32" i="1370"/>
  <c r="G32" i="1370"/>
  <c r="M31" i="1370"/>
  <c r="K31" i="1370"/>
  <c r="I31" i="1370"/>
  <c r="G31" i="1370"/>
  <c r="M30" i="1370"/>
  <c r="K30" i="1370"/>
  <c r="G30" i="1370"/>
  <c r="I30" i="1370" s="1"/>
  <c r="M29" i="1370"/>
  <c r="M35" i="1370" s="1"/>
  <c r="K29" i="1370"/>
  <c r="G29" i="1370"/>
  <c r="I29" i="1370" s="1"/>
  <c r="M28" i="1370"/>
  <c r="K28" i="1370"/>
  <c r="G28" i="1370"/>
  <c r="I28" i="1370" s="1"/>
  <c r="M27" i="1370"/>
  <c r="K27" i="1370"/>
  <c r="I27" i="1370"/>
  <c r="G27" i="1370"/>
  <c r="M26" i="1370"/>
  <c r="G26" i="1370"/>
  <c r="I26" i="1370" s="1"/>
  <c r="G25" i="1370"/>
  <c r="I25" i="1370" s="1"/>
  <c r="G24" i="1370"/>
  <c r="I24" i="1370" s="1"/>
  <c r="M23" i="1370"/>
  <c r="K23" i="1370"/>
  <c r="I23" i="1370"/>
  <c r="G23" i="1370"/>
  <c r="I22" i="1370"/>
  <c r="G22" i="1370"/>
  <c r="I21" i="1370"/>
  <c r="G21" i="1370"/>
  <c r="G20" i="1370"/>
  <c r="I20" i="1370" s="1"/>
  <c r="H14" i="1370"/>
  <c r="G14" i="1370"/>
  <c r="E14" i="1370"/>
  <c r="H13" i="1370"/>
  <c r="G13" i="1370"/>
  <c r="E13" i="1370"/>
  <c r="G12" i="1370"/>
  <c r="H12" i="1370" s="1"/>
  <c r="E12" i="1370"/>
  <c r="G11" i="1370"/>
  <c r="H11" i="1370" s="1"/>
  <c r="E11" i="1370"/>
  <c r="H10" i="1370"/>
  <c r="G10" i="1370"/>
  <c r="E10" i="1370"/>
  <c r="G9" i="1370"/>
  <c r="H9" i="1370" s="1"/>
  <c r="E9" i="1370"/>
  <c r="G8" i="1370"/>
  <c r="H8" i="1370" s="1"/>
  <c r="E8" i="1370"/>
  <c r="H7" i="1370"/>
  <c r="G7" i="1370"/>
  <c r="E7" i="1370"/>
  <c r="G6" i="1370"/>
  <c r="H6" i="1370" s="1"/>
  <c r="E6" i="1370"/>
  <c r="L35" i="1369"/>
  <c r="J35" i="1369"/>
  <c r="K34" i="1369"/>
  <c r="G34" i="1369"/>
  <c r="I34" i="1369" s="1"/>
  <c r="M33" i="1369"/>
  <c r="K33" i="1369"/>
  <c r="G33" i="1369"/>
  <c r="I33" i="1369" s="1"/>
  <c r="M32" i="1369"/>
  <c r="K32" i="1369"/>
  <c r="G32" i="1369"/>
  <c r="I32" i="1369" s="1"/>
  <c r="M31" i="1369"/>
  <c r="K31" i="1369"/>
  <c r="G31" i="1369"/>
  <c r="I31" i="1369" s="1"/>
  <c r="M30" i="1369"/>
  <c r="K30" i="1369"/>
  <c r="G30" i="1369"/>
  <c r="I30" i="1369" s="1"/>
  <c r="M29" i="1369"/>
  <c r="K29" i="1369"/>
  <c r="G29" i="1369"/>
  <c r="I29" i="1369" s="1"/>
  <c r="M28" i="1369"/>
  <c r="K28" i="1369"/>
  <c r="G28" i="1369"/>
  <c r="I28" i="1369" s="1"/>
  <c r="M27" i="1369"/>
  <c r="K27" i="1369"/>
  <c r="G27" i="1369"/>
  <c r="I27" i="1369" s="1"/>
  <c r="M26" i="1369"/>
  <c r="G26" i="1369"/>
  <c r="I26" i="1369" s="1"/>
  <c r="K25" i="1369"/>
  <c r="K35" i="1369" s="1"/>
  <c r="G25" i="1369"/>
  <c r="I25" i="1369" s="1"/>
  <c r="G24" i="1369"/>
  <c r="I24" i="1369" s="1"/>
  <c r="K23" i="1369"/>
  <c r="M23" i="1369" s="1"/>
  <c r="M35" i="1369" s="1"/>
  <c r="G23" i="1369"/>
  <c r="I23" i="1369" s="1"/>
  <c r="G22" i="1369"/>
  <c r="I22" i="1369" s="1"/>
  <c r="G21" i="1369"/>
  <c r="I21" i="1369" s="1"/>
  <c r="G20" i="1369"/>
  <c r="I20" i="1369" s="1"/>
  <c r="G14" i="1369"/>
  <c r="H14" i="1369" s="1"/>
  <c r="E14" i="1369"/>
  <c r="G13" i="1369"/>
  <c r="H13" i="1369" s="1"/>
  <c r="E13" i="1369"/>
  <c r="G12" i="1369"/>
  <c r="H12" i="1369" s="1"/>
  <c r="E12" i="1369"/>
  <c r="G11" i="1369"/>
  <c r="H11" i="1369" s="1"/>
  <c r="E11" i="1369"/>
  <c r="G10" i="1369"/>
  <c r="H10" i="1369" s="1"/>
  <c r="E10" i="1369"/>
  <c r="G9" i="1369"/>
  <c r="H9" i="1369" s="1"/>
  <c r="E9" i="1369"/>
  <c r="H8" i="1369"/>
  <c r="G8" i="1369"/>
  <c r="E8" i="1369"/>
  <c r="H7" i="1369"/>
  <c r="G7" i="1369"/>
  <c r="E7" i="1369"/>
  <c r="G6" i="1369"/>
  <c r="H6" i="1369" s="1"/>
  <c r="E6" i="1369"/>
  <c r="K34" i="1368"/>
  <c r="K25" i="1368"/>
  <c r="L35" i="1368"/>
  <c r="J35" i="1368"/>
  <c r="G34" i="1368"/>
  <c r="I34" i="1368" s="1"/>
  <c r="K33" i="1368"/>
  <c r="M33" i="1368" s="1"/>
  <c r="G33" i="1368"/>
  <c r="I33" i="1368" s="1"/>
  <c r="K32" i="1368"/>
  <c r="M32" i="1368" s="1"/>
  <c r="G32" i="1368"/>
  <c r="I32" i="1368" s="1"/>
  <c r="K31" i="1368"/>
  <c r="M31" i="1368" s="1"/>
  <c r="G31" i="1368"/>
  <c r="I31" i="1368" s="1"/>
  <c r="K30" i="1368"/>
  <c r="M30" i="1368" s="1"/>
  <c r="G30" i="1368"/>
  <c r="I30" i="1368" s="1"/>
  <c r="K29" i="1368"/>
  <c r="M29" i="1368" s="1"/>
  <c r="G29" i="1368"/>
  <c r="I29" i="1368" s="1"/>
  <c r="K28" i="1368"/>
  <c r="M28" i="1368" s="1"/>
  <c r="G28" i="1368"/>
  <c r="I28" i="1368" s="1"/>
  <c r="K27" i="1368"/>
  <c r="M27" i="1368" s="1"/>
  <c r="G27" i="1368"/>
  <c r="I27" i="1368" s="1"/>
  <c r="M26" i="1368"/>
  <c r="G26" i="1368"/>
  <c r="I26" i="1368" s="1"/>
  <c r="G25" i="1368"/>
  <c r="I25" i="1368" s="1"/>
  <c r="G24" i="1368"/>
  <c r="I24" i="1368" s="1"/>
  <c r="K23" i="1368"/>
  <c r="M23" i="1368" s="1"/>
  <c r="G23" i="1368"/>
  <c r="I23" i="1368" s="1"/>
  <c r="G22" i="1368"/>
  <c r="I22" i="1368" s="1"/>
  <c r="G21" i="1368"/>
  <c r="I21" i="1368" s="1"/>
  <c r="G20" i="1368"/>
  <c r="I20" i="1368" s="1"/>
  <c r="H14" i="1368"/>
  <c r="G14" i="1368"/>
  <c r="E14" i="1368"/>
  <c r="G13" i="1368"/>
  <c r="H13" i="1368" s="1"/>
  <c r="E13" i="1368"/>
  <c r="G12" i="1368"/>
  <c r="H12" i="1368" s="1"/>
  <c r="E12" i="1368"/>
  <c r="H11" i="1368"/>
  <c r="G11" i="1368"/>
  <c r="E11" i="1368"/>
  <c r="G10" i="1368"/>
  <c r="H10" i="1368" s="1"/>
  <c r="E10" i="1368"/>
  <c r="G9" i="1368"/>
  <c r="H9" i="1368" s="1"/>
  <c r="E9" i="1368"/>
  <c r="G8" i="1368"/>
  <c r="H8" i="1368" s="1"/>
  <c r="E8" i="1368"/>
  <c r="G7" i="1368"/>
  <c r="H7" i="1368" s="1"/>
  <c r="E7" i="1368"/>
  <c r="G6" i="1368"/>
  <c r="H6" i="1368" s="1"/>
  <c r="E6" i="1368"/>
  <c r="L35" i="1367"/>
  <c r="J35" i="1367"/>
  <c r="G34" i="1367"/>
  <c r="I34" i="1367" s="1"/>
  <c r="M33" i="1367"/>
  <c r="K33" i="1367"/>
  <c r="I33" i="1367"/>
  <c r="G33" i="1367"/>
  <c r="M32" i="1367"/>
  <c r="K32" i="1367"/>
  <c r="G32" i="1367"/>
  <c r="I32" i="1367" s="1"/>
  <c r="M31" i="1367"/>
  <c r="K31" i="1367"/>
  <c r="I31" i="1367"/>
  <c r="G31" i="1367"/>
  <c r="M30" i="1367"/>
  <c r="K30" i="1367"/>
  <c r="G30" i="1367"/>
  <c r="I30" i="1367" s="1"/>
  <c r="M29" i="1367"/>
  <c r="K29" i="1367"/>
  <c r="I29" i="1367"/>
  <c r="G29" i="1367"/>
  <c r="M28" i="1367"/>
  <c r="K28" i="1367"/>
  <c r="G28" i="1367"/>
  <c r="I28" i="1367" s="1"/>
  <c r="M27" i="1367"/>
  <c r="K27" i="1367"/>
  <c r="I27" i="1367"/>
  <c r="G27" i="1367"/>
  <c r="M26" i="1367"/>
  <c r="M35" i="1367" s="1"/>
  <c r="G26" i="1367"/>
  <c r="I26" i="1367" s="1"/>
  <c r="G25" i="1367"/>
  <c r="I25" i="1367" s="1"/>
  <c r="G24" i="1367"/>
  <c r="I24" i="1367" s="1"/>
  <c r="M23" i="1367"/>
  <c r="K23" i="1367"/>
  <c r="G23" i="1367"/>
  <c r="I23" i="1367" s="1"/>
  <c r="G22" i="1367"/>
  <c r="I22" i="1367" s="1"/>
  <c r="G21" i="1367"/>
  <c r="I21" i="1367" s="1"/>
  <c r="G20" i="1367"/>
  <c r="I20" i="1367" s="1"/>
  <c r="G14" i="1367"/>
  <c r="H14" i="1367" s="1"/>
  <c r="E14" i="1367"/>
  <c r="H13" i="1367"/>
  <c r="G13" i="1367"/>
  <c r="E13" i="1367"/>
  <c r="G12" i="1367"/>
  <c r="H12" i="1367" s="1"/>
  <c r="E12" i="1367"/>
  <c r="G11" i="1367"/>
  <c r="H11" i="1367" s="1"/>
  <c r="E11" i="1367"/>
  <c r="G10" i="1367"/>
  <c r="H10" i="1367" s="1"/>
  <c r="E10" i="1367"/>
  <c r="G9" i="1367"/>
  <c r="H9" i="1367" s="1"/>
  <c r="E9" i="1367"/>
  <c r="G8" i="1367"/>
  <c r="H8" i="1367" s="1"/>
  <c r="E8" i="1367"/>
  <c r="H7" i="1367"/>
  <c r="G7" i="1367"/>
  <c r="E7" i="1367"/>
  <c r="G6" i="1367"/>
  <c r="H6" i="1367" s="1"/>
  <c r="E6" i="1367"/>
  <c r="L35" i="1366"/>
  <c r="J35" i="1366"/>
  <c r="K34" i="1366"/>
  <c r="G34" i="1366"/>
  <c r="I34" i="1366" s="1"/>
  <c r="K33" i="1366"/>
  <c r="M33" i="1366" s="1"/>
  <c r="G33" i="1366"/>
  <c r="I33" i="1366" s="1"/>
  <c r="M32" i="1366"/>
  <c r="K32" i="1366"/>
  <c r="G32" i="1366"/>
  <c r="I32" i="1366" s="1"/>
  <c r="K31" i="1366"/>
  <c r="M31" i="1366" s="1"/>
  <c r="G31" i="1366"/>
  <c r="I31" i="1366" s="1"/>
  <c r="M30" i="1366"/>
  <c r="K30" i="1366"/>
  <c r="I30" i="1366"/>
  <c r="G30" i="1366"/>
  <c r="K29" i="1366"/>
  <c r="M29" i="1366" s="1"/>
  <c r="G29" i="1366"/>
  <c r="I29" i="1366" s="1"/>
  <c r="M28" i="1366"/>
  <c r="K28" i="1366"/>
  <c r="I28" i="1366"/>
  <c r="G28" i="1366"/>
  <c r="K27" i="1366"/>
  <c r="M27" i="1366" s="1"/>
  <c r="G27" i="1366"/>
  <c r="I27" i="1366" s="1"/>
  <c r="M26" i="1366"/>
  <c r="G26" i="1366"/>
  <c r="I26" i="1366" s="1"/>
  <c r="K25" i="1366"/>
  <c r="G25" i="1366"/>
  <c r="I25" i="1366" s="1"/>
  <c r="K24" i="1366"/>
  <c r="K35" i="1366" s="1"/>
  <c r="G24" i="1366"/>
  <c r="I24" i="1366" s="1"/>
  <c r="K23" i="1366"/>
  <c r="M23" i="1366" s="1"/>
  <c r="G23" i="1366"/>
  <c r="I23" i="1366" s="1"/>
  <c r="G22" i="1366"/>
  <c r="I22" i="1366" s="1"/>
  <c r="G21" i="1366"/>
  <c r="I21" i="1366" s="1"/>
  <c r="G20" i="1366"/>
  <c r="I20" i="1366" s="1"/>
  <c r="G14" i="1366"/>
  <c r="H14" i="1366" s="1"/>
  <c r="E14" i="1366"/>
  <c r="G13" i="1366"/>
  <c r="H13" i="1366" s="1"/>
  <c r="E13" i="1366"/>
  <c r="G12" i="1366"/>
  <c r="H12" i="1366" s="1"/>
  <c r="E12" i="1366"/>
  <c r="G11" i="1366"/>
  <c r="H11" i="1366" s="1"/>
  <c r="E11" i="1366"/>
  <c r="G10" i="1366"/>
  <c r="H10" i="1366" s="1"/>
  <c r="E10" i="1366"/>
  <c r="G9" i="1366"/>
  <c r="H9" i="1366" s="1"/>
  <c r="E9" i="1366"/>
  <c r="G8" i="1366"/>
  <c r="H8" i="1366" s="1"/>
  <c r="E8" i="1366"/>
  <c r="H7" i="1366"/>
  <c r="G7" i="1366"/>
  <c r="E7" i="1366"/>
  <c r="G6" i="1366"/>
  <c r="H6" i="1366" s="1"/>
  <c r="E6" i="1366"/>
  <c r="K24" i="1365"/>
  <c r="K24" i="1364"/>
  <c r="L35" i="1365"/>
  <c r="J35" i="1365"/>
  <c r="K34" i="1365"/>
  <c r="G34" i="1365"/>
  <c r="I34" i="1365" s="1"/>
  <c r="M33" i="1365"/>
  <c r="K33" i="1365"/>
  <c r="G33" i="1365"/>
  <c r="I33" i="1365" s="1"/>
  <c r="M32" i="1365"/>
  <c r="K32" i="1365"/>
  <c r="G32" i="1365"/>
  <c r="I32" i="1365" s="1"/>
  <c r="M31" i="1365"/>
  <c r="K31" i="1365"/>
  <c r="G31" i="1365"/>
  <c r="I31" i="1365" s="1"/>
  <c r="M30" i="1365"/>
  <c r="K30" i="1365"/>
  <c r="G30" i="1365"/>
  <c r="I30" i="1365" s="1"/>
  <c r="M29" i="1365"/>
  <c r="K29" i="1365"/>
  <c r="G29" i="1365"/>
  <c r="I29" i="1365" s="1"/>
  <c r="M28" i="1365"/>
  <c r="K28" i="1365"/>
  <c r="G28" i="1365"/>
  <c r="I28" i="1365" s="1"/>
  <c r="M27" i="1365"/>
  <c r="K27" i="1365"/>
  <c r="G27" i="1365"/>
  <c r="I27" i="1365" s="1"/>
  <c r="M26" i="1365"/>
  <c r="G26" i="1365"/>
  <c r="I26" i="1365" s="1"/>
  <c r="K25" i="1365"/>
  <c r="G25" i="1365"/>
  <c r="I25" i="1365" s="1"/>
  <c r="G24" i="1365"/>
  <c r="I24" i="1365" s="1"/>
  <c r="K23" i="1365"/>
  <c r="K35" i="1365" s="1"/>
  <c r="I23" i="1365"/>
  <c r="G23" i="1365"/>
  <c r="G22" i="1365"/>
  <c r="I22" i="1365" s="1"/>
  <c r="G21" i="1365"/>
  <c r="I21" i="1365" s="1"/>
  <c r="G20" i="1365"/>
  <c r="I20" i="1365" s="1"/>
  <c r="G14" i="1365"/>
  <c r="H14" i="1365" s="1"/>
  <c r="E14" i="1365"/>
  <c r="G13" i="1365"/>
  <c r="H13" i="1365" s="1"/>
  <c r="E13" i="1365"/>
  <c r="G12" i="1365"/>
  <c r="H12" i="1365" s="1"/>
  <c r="E12" i="1365"/>
  <c r="H11" i="1365"/>
  <c r="G11" i="1365"/>
  <c r="E11" i="1365"/>
  <c r="G10" i="1365"/>
  <c r="H10" i="1365" s="1"/>
  <c r="E10" i="1365"/>
  <c r="G9" i="1365"/>
  <c r="H9" i="1365" s="1"/>
  <c r="E9" i="1365"/>
  <c r="G8" i="1365"/>
  <c r="H8" i="1365" s="1"/>
  <c r="E8" i="1365"/>
  <c r="H7" i="1365"/>
  <c r="G7" i="1365"/>
  <c r="E7" i="1365"/>
  <c r="H6" i="1365"/>
  <c r="G6" i="1365"/>
  <c r="E6" i="1365"/>
  <c r="K25" i="1364"/>
  <c r="L35" i="1364"/>
  <c r="J35" i="1364"/>
  <c r="K34" i="1364"/>
  <c r="G34" i="1364"/>
  <c r="I34" i="1364" s="1"/>
  <c r="K33" i="1364"/>
  <c r="M33" i="1364" s="1"/>
  <c r="G33" i="1364"/>
  <c r="I33" i="1364" s="1"/>
  <c r="M32" i="1364"/>
  <c r="K32" i="1364"/>
  <c r="G32" i="1364"/>
  <c r="I32" i="1364" s="1"/>
  <c r="K31" i="1364"/>
  <c r="M31" i="1364" s="1"/>
  <c r="G31" i="1364"/>
  <c r="I31" i="1364" s="1"/>
  <c r="M30" i="1364"/>
  <c r="K30" i="1364"/>
  <c r="G30" i="1364"/>
  <c r="I30" i="1364" s="1"/>
  <c r="K29" i="1364"/>
  <c r="M29" i="1364" s="1"/>
  <c r="G29" i="1364"/>
  <c r="I29" i="1364" s="1"/>
  <c r="M28" i="1364"/>
  <c r="K28" i="1364"/>
  <c r="G28" i="1364"/>
  <c r="I28" i="1364" s="1"/>
  <c r="K27" i="1364"/>
  <c r="M27" i="1364" s="1"/>
  <c r="G27" i="1364"/>
  <c r="I27" i="1364" s="1"/>
  <c r="M26" i="1364"/>
  <c r="I26" i="1364"/>
  <c r="G26" i="1364"/>
  <c r="G25" i="1364"/>
  <c r="I25" i="1364" s="1"/>
  <c r="G24" i="1364"/>
  <c r="I24" i="1364" s="1"/>
  <c r="M23" i="1364"/>
  <c r="K23" i="1364"/>
  <c r="G23" i="1364"/>
  <c r="I23" i="1364" s="1"/>
  <c r="G22" i="1364"/>
  <c r="I22" i="1364" s="1"/>
  <c r="G21" i="1364"/>
  <c r="I21" i="1364" s="1"/>
  <c r="G20" i="1364"/>
  <c r="I20" i="1364" s="1"/>
  <c r="G14" i="1364"/>
  <c r="H14" i="1364" s="1"/>
  <c r="E14" i="1364"/>
  <c r="G13" i="1364"/>
  <c r="H13" i="1364" s="1"/>
  <c r="E13" i="1364"/>
  <c r="H12" i="1364"/>
  <c r="G12" i="1364"/>
  <c r="E12" i="1364"/>
  <c r="G11" i="1364"/>
  <c r="H11" i="1364" s="1"/>
  <c r="E11" i="1364"/>
  <c r="G10" i="1364"/>
  <c r="H10" i="1364" s="1"/>
  <c r="E10" i="1364"/>
  <c r="G9" i="1364"/>
  <c r="H9" i="1364" s="1"/>
  <c r="E9" i="1364"/>
  <c r="G8" i="1364"/>
  <c r="H8" i="1364" s="1"/>
  <c r="E8" i="1364"/>
  <c r="G7" i="1364"/>
  <c r="H7" i="1364" s="1"/>
  <c r="E7" i="1364"/>
  <c r="G6" i="1364"/>
  <c r="H6" i="1364" s="1"/>
  <c r="E6" i="1364"/>
  <c r="K34" i="1363"/>
  <c r="K24" i="1363"/>
  <c r="L35" i="1363"/>
  <c r="J35" i="1363"/>
  <c r="G34" i="1363"/>
  <c r="I34" i="1363" s="1"/>
  <c r="M33" i="1363"/>
  <c r="K33" i="1363"/>
  <c r="G33" i="1363"/>
  <c r="I33" i="1363" s="1"/>
  <c r="M32" i="1363"/>
  <c r="K32" i="1363"/>
  <c r="I32" i="1363"/>
  <c r="G32" i="1363"/>
  <c r="M31" i="1363"/>
  <c r="K31" i="1363"/>
  <c r="G31" i="1363"/>
  <c r="I31" i="1363" s="1"/>
  <c r="M30" i="1363"/>
  <c r="K30" i="1363"/>
  <c r="I30" i="1363"/>
  <c r="G30" i="1363"/>
  <c r="M29" i="1363"/>
  <c r="K29" i="1363"/>
  <c r="G29" i="1363"/>
  <c r="I29" i="1363" s="1"/>
  <c r="M28" i="1363"/>
  <c r="K28" i="1363"/>
  <c r="I28" i="1363"/>
  <c r="G28" i="1363"/>
  <c r="M27" i="1363"/>
  <c r="K27" i="1363"/>
  <c r="G27" i="1363"/>
  <c r="I27" i="1363" s="1"/>
  <c r="M26" i="1363"/>
  <c r="G26" i="1363"/>
  <c r="I26" i="1363" s="1"/>
  <c r="K25" i="1363"/>
  <c r="G25" i="1363"/>
  <c r="I25" i="1363" s="1"/>
  <c r="G24" i="1363"/>
  <c r="I24" i="1363" s="1"/>
  <c r="M23" i="1363"/>
  <c r="M35" i="1363" s="1"/>
  <c r="K23" i="1363"/>
  <c r="G23" i="1363"/>
  <c r="I23" i="1363" s="1"/>
  <c r="G22" i="1363"/>
  <c r="I22" i="1363" s="1"/>
  <c r="G21" i="1363"/>
  <c r="I21" i="1363" s="1"/>
  <c r="G20" i="1363"/>
  <c r="I20" i="1363" s="1"/>
  <c r="G14" i="1363"/>
  <c r="H14" i="1363" s="1"/>
  <c r="E14" i="1363"/>
  <c r="H13" i="1363"/>
  <c r="G13" i="1363"/>
  <c r="E13" i="1363"/>
  <c r="G12" i="1363"/>
  <c r="H12" i="1363" s="1"/>
  <c r="E12" i="1363"/>
  <c r="H11" i="1363"/>
  <c r="G11" i="1363"/>
  <c r="E11" i="1363"/>
  <c r="G10" i="1363"/>
  <c r="H10" i="1363" s="1"/>
  <c r="E10" i="1363"/>
  <c r="G9" i="1363"/>
  <c r="H9" i="1363" s="1"/>
  <c r="E9" i="1363"/>
  <c r="G8" i="1363"/>
  <c r="H8" i="1363" s="1"/>
  <c r="E8" i="1363"/>
  <c r="G7" i="1363"/>
  <c r="H7" i="1363" s="1"/>
  <c r="E7" i="1363"/>
  <c r="G6" i="1363"/>
  <c r="H6" i="1363" s="1"/>
  <c r="E6" i="1363"/>
  <c r="L35" i="1362"/>
  <c r="J35" i="1362"/>
  <c r="K34" i="1362"/>
  <c r="G34" i="1362"/>
  <c r="I34" i="1362" s="1"/>
  <c r="K33" i="1362"/>
  <c r="M33" i="1362" s="1"/>
  <c r="G33" i="1362"/>
  <c r="I33" i="1362" s="1"/>
  <c r="M32" i="1362"/>
  <c r="K32" i="1362"/>
  <c r="G32" i="1362"/>
  <c r="I32" i="1362" s="1"/>
  <c r="K31" i="1362"/>
  <c r="M31" i="1362" s="1"/>
  <c r="G31" i="1362"/>
  <c r="I31" i="1362" s="1"/>
  <c r="M30" i="1362"/>
  <c r="K30" i="1362"/>
  <c r="G30" i="1362"/>
  <c r="I30" i="1362" s="1"/>
  <c r="K29" i="1362"/>
  <c r="M29" i="1362" s="1"/>
  <c r="G29" i="1362"/>
  <c r="I29" i="1362" s="1"/>
  <c r="M28" i="1362"/>
  <c r="K28" i="1362"/>
  <c r="G28" i="1362"/>
  <c r="I28" i="1362" s="1"/>
  <c r="K27" i="1362"/>
  <c r="M27" i="1362" s="1"/>
  <c r="G27" i="1362"/>
  <c r="I27" i="1362" s="1"/>
  <c r="M26" i="1362"/>
  <c r="G26" i="1362"/>
  <c r="I26" i="1362" s="1"/>
  <c r="K25" i="1362"/>
  <c r="G25" i="1362"/>
  <c r="I25" i="1362" s="1"/>
  <c r="K24" i="1362"/>
  <c r="K35" i="1362" s="1"/>
  <c r="G24" i="1362"/>
  <c r="I24" i="1362" s="1"/>
  <c r="M23" i="1362"/>
  <c r="K23" i="1362"/>
  <c r="G23" i="1362"/>
  <c r="I23" i="1362" s="1"/>
  <c r="G22" i="1362"/>
  <c r="I22" i="1362" s="1"/>
  <c r="G21" i="1362"/>
  <c r="I21" i="1362" s="1"/>
  <c r="I20" i="1362"/>
  <c r="G20" i="1362"/>
  <c r="G14" i="1362"/>
  <c r="H14" i="1362" s="1"/>
  <c r="E14" i="1362"/>
  <c r="G13" i="1362"/>
  <c r="H13" i="1362" s="1"/>
  <c r="E13" i="1362"/>
  <c r="G12" i="1362"/>
  <c r="H12" i="1362" s="1"/>
  <c r="E12" i="1362"/>
  <c r="G11" i="1362"/>
  <c r="H11" i="1362" s="1"/>
  <c r="E11" i="1362"/>
  <c r="G10" i="1362"/>
  <c r="H10" i="1362" s="1"/>
  <c r="E10" i="1362"/>
  <c r="G9" i="1362"/>
  <c r="H9" i="1362" s="1"/>
  <c r="E9" i="1362"/>
  <c r="G8" i="1362"/>
  <c r="H8" i="1362" s="1"/>
  <c r="E8" i="1362"/>
  <c r="G7" i="1362"/>
  <c r="H7" i="1362" s="1"/>
  <c r="E7" i="1362"/>
  <c r="G6" i="1362"/>
  <c r="H6" i="1362" s="1"/>
  <c r="E6" i="1362"/>
  <c r="L35" i="1361"/>
  <c r="K35" i="1361"/>
  <c r="J35" i="1361"/>
  <c r="K34" i="1361"/>
  <c r="G34" i="1361"/>
  <c r="I34" i="1361" s="1"/>
  <c r="K33" i="1361"/>
  <c r="M33" i="1361" s="1"/>
  <c r="G33" i="1361"/>
  <c r="I33" i="1361" s="1"/>
  <c r="M32" i="1361"/>
  <c r="K32" i="1361"/>
  <c r="G32" i="1361"/>
  <c r="I32" i="1361" s="1"/>
  <c r="K31" i="1361"/>
  <c r="M31" i="1361" s="1"/>
  <c r="G31" i="1361"/>
  <c r="I31" i="1361" s="1"/>
  <c r="M30" i="1361"/>
  <c r="K30" i="1361"/>
  <c r="G30" i="1361"/>
  <c r="I30" i="1361" s="1"/>
  <c r="K29" i="1361"/>
  <c r="M29" i="1361" s="1"/>
  <c r="G29" i="1361"/>
  <c r="I29" i="1361" s="1"/>
  <c r="M28" i="1361"/>
  <c r="K28" i="1361"/>
  <c r="G28" i="1361"/>
  <c r="I28" i="1361" s="1"/>
  <c r="K27" i="1361"/>
  <c r="M27" i="1361" s="1"/>
  <c r="G27" i="1361"/>
  <c r="I27" i="1361" s="1"/>
  <c r="M26" i="1361"/>
  <c r="I26" i="1361"/>
  <c r="G26" i="1361"/>
  <c r="K25" i="1361"/>
  <c r="G25" i="1361"/>
  <c r="I25" i="1361" s="1"/>
  <c r="K24" i="1361"/>
  <c r="G24" i="1361"/>
  <c r="I24" i="1361" s="1"/>
  <c r="M23" i="1361"/>
  <c r="K23" i="1361"/>
  <c r="G23" i="1361"/>
  <c r="I23" i="1361" s="1"/>
  <c r="G22" i="1361"/>
  <c r="I22" i="1361" s="1"/>
  <c r="G21" i="1361"/>
  <c r="I21" i="1361" s="1"/>
  <c r="G20" i="1361"/>
  <c r="I20" i="1361" s="1"/>
  <c r="G14" i="1361"/>
  <c r="H14" i="1361" s="1"/>
  <c r="E14" i="1361"/>
  <c r="G13" i="1361"/>
  <c r="H13" i="1361" s="1"/>
  <c r="E13" i="1361"/>
  <c r="H12" i="1361"/>
  <c r="G12" i="1361"/>
  <c r="E12" i="1361"/>
  <c r="G11" i="1361"/>
  <c r="H11" i="1361" s="1"/>
  <c r="E11" i="1361"/>
  <c r="G10" i="1361"/>
  <c r="H10" i="1361" s="1"/>
  <c r="E10" i="1361"/>
  <c r="G9" i="1361"/>
  <c r="H9" i="1361" s="1"/>
  <c r="E9" i="1361"/>
  <c r="G8" i="1361"/>
  <c r="H8" i="1361" s="1"/>
  <c r="E8" i="1361"/>
  <c r="G7" i="1361"/>
  <c r="H7" i="1361" s="1"/>
  <c r="E7" i="1361"/>
  <c r="G6" i="1361"/>
  <c r="H6" i="1361" s="1"/>
  <c r="E6" i="1361"/>
  <c r="L35" i="1360"/>
  <c r="J35" i="1360"/>
  <c r="K34" i="1360"/>
  <c r="G34" i="1360"/>
  <c r="I34" i="1360" s="1"/>
  <c r="M33" i="1360"/>
  <c r="K33" i="1360"/>
  <c r="G33" i="1360"/>
  <c r="I33" i="1360" s="1"/>
  <c r="M32" i="1360"/>
  <c r="K32" i="1360"/>
  <c r="I32" i="1360"/>
  <c r="G32" i="1360"/>
  <c r="M31" i="1360"/>
  <c r="K31" i="1360"/>
  <c r="G31" i="1360"/>
  <c r="I31" i="1360" s="1"/>
  <c r="M30" i="1360"/>
  <c r="K30" i="1360"/>
  <c r="I30" i="1360"/>
  <c r="G30" i="1360"/>
  <c r="M29" i="1360"/>
  <c r="K29" i="1360"/>
  <c r="G29" i="1360"/>
  <c r="I29" i="1360" s="1"/>
  <c r="M28" i="1360"/>
  <c r="K28" i="1360"/>
  <c r="I28" i="1360"/>
  <c r="G28" i="1360"/>
  <c r="M27" i="1360"/>
  <c r="K27" i="1360"/>
  <c r="G27" i="1360"/>
  <c r="I27" i="1360" s="1"/>
  <c r="M26" i="1360"/>
  <c r="G26" i="1360"/>
  <c r="I26" i="1360" s="1"/>
  <c r="K25" i="1360"/>
  <c r="G25" i="1360"/>
  <c r="I25" i="1360" s="1"/>
  <c r="K24" i="1360"/>
  <c r="K35" i="1360" s="1"/>
  <c r="G24" i="1360"/>
  <c r="I24" i="1360" s="1"/>
  <c r="M23" i="1360"/>
  <c r="M35" i="1360" s="1"/>
  <c r="K23" i="1360"/>
  <c r="G23" i="1360"/>
  <c r="I23" i="1360" s="1"/>
  <c r="G22" i="1360"/>
  <c r="I22" i="1360" s="1"/>
  <c r="G21" i="1360"/>
  <c r="I21" i="1360" s="1"/>
  <c r="I20" i="1360"/>
  <c r="G20" i="1360"/>
  <c r="G14" i="1360"/>
  <c r="H14" i="1360" s="1"/>
  <c r="E14" i="1360"/>
  <c r="H13" i="1360"/>
  <c r="G13" i="1360"/>
  <c r="E13" i="1360"/>
  <c r="H12" i="1360"/>
  <c r="G12" i="1360"/>
  <c r="E12" i="1360"/>
  <c r="G11" i="1360"/>
  <c r="H11" i="1360" s="1"/>
  <c r="E11" i="1360"/>
  <c r="G10" i="1360"/>
  <c r="H10" i="1360" s="1"/>
  <c r="E10" i="1360"/>
  <c r="G9" i="1360"/>
  <c r="H9" i="1360" s="1"/>
  <c r="E9" i="1360"/>
  <c r="G8" i="1360"/>
  <c r="H8" i="1360" s="1"/>
  <c r="E8" i="1360"/>
  <c r="G7" i="1360"/>
  <c r="H7" i="1360" s="1"/>
  <c r="E7" i="1360"/>
  <c r="G6" i="1360"/>
  <c r="H6" i="1360" s="1"/>
  <c r="E6" i="1360"/>
  <c r="L35" i="1359"/>
  <c r="J35" i="1359"/>
  <c r="K34" i="1359"/>
  <c r="G34" i="1359"/>
  <c r="I34" i="1359" s="1"/>
  <c r="M33" i="1359"/>
  <c r="K33" i="1359"/>
  <c r="G33" i="1359"/>
  <c r="I33" i="1359" s="1"/>
  <c r="M32" i="1359"/>
  <c r="K32" i="1359"/>
  <c r="G32" i="1359"/>
  <c r="I32" i="1359" s="1"/>
  <c r="M31" i="1359"/>
  <c r="K31" i="1359"/>
  <c r="I31" i="1359"/>
  <c r="G31" i="1359"/>
  <c r="M30" i="1359"/>
  <c r="K30" i="1359"/>
  <c r="G30" i="1359"/>
  <c r="I30" i="1359" s="1"/>
  <c r="M29" i="1359"/>
  <c r="K29" i="1359"/>
  <c r="I29" i="1359"/>
  <c r="G29" i="1359"/>
  <c r="M28" i="1359"/>
  <c r="K28" i="1359"/>
  <c r="G28" i="1359"/>
  <c r="I28" i="1359" s="1"/>
  <c r="M27" i="1359"/>
  <c r="K27" i="1359"/>
  <c r="I27" i="1359"/>
  <c r="G27" i="1359"/>
  <c r="M26" i="1359"/>
  <c r="G26" i="1359"/>
  <c r="I26" i="1359" s="1"/>
  <c r="K25" i="1359"/>
  <c r="I25" i="1359"/>
  <c r="G25" i="1359"/>
  <c r="K24" i="1359"/>
  <c r="K35" i="1359" s="1"/>
  <c r="G24" i="1359"/>
  <c r="I24" i="1359" s="1"/>
  <c r="M23" i="1359"/>
  <c r="M35" i="1359" s="1"/>
  <c r="K23" i="1359"/>
  <c r="G23" i="1359"/>
  <c r="I23" i="1359" s="1"/>
  <c r="G22" i="1359"/>
  <c r="I22" i="1359" s="1"/>
  <c r="G21" i="1359"/>
  <c r="I21" i="1359" s="1"/>
  <c r="G20" i="1359"/>
  <c r="I20" i="1359" s="1"/>
  <c r="G14" i="1359"/>
  <c r="H14" i="1359" s="1"/>
  <c r="E14" i="1359"/>
  <c r="H13" i="1359"/>
  <c r="G13" i="1359"/>
  <c r="E13" i="1359"/>
  <c r="H12" i="1359"/>
  <c r="G12" i="1359"/>
  <c r="E12" i="1359"/>
  <c r="H11" i="1359"/>
  <c r="G11" i="1359"/>
  <c r="E11" i="1359"/>
  <c r="G10" i="1359"/>
  <c r="H10" i="1359" s="1"/>
  <c r="E10" i="1359"/>
  <c r="G9" i="1359"/>
  <c r="H9" i="1359" s="1"/>
  <c r="E9" i="1359"/>
  <c r="G8" i="1359"/>
  <c r="H8" i="1359" s="1"/>
  <c r="E8" i="1359"/>
  <c r="G7" i="1359"/>
  <c r="H7" i="1359" s="1"/>
  <c r="E7" i="1359"/>
  <c r="G6" i="1359"/>
  <c r="H6" i="1359" s="1"/>
  <c r="E6" i="1359"/>
  <c r="K25" i="1358"/>
  <c r="L35" i="1358"/>
  <c r="J35" i="1358"/>
  <c r="K34" i="1358"/>
  <c r="G34" i="1358"/>
  <c r="I34" i="1358" s="1"/>
  <c r="M33" i="1358"/>
  <c r="K33" i="1358"/>
  <c r="G33" i="1358"/>
  <c r="I33" i="1358" s="1"/>
  <c r="M32" i="1358"/>
  <c r="K32" i="1358"/>
  <c r="I32" i="1358"/>
  <c r="G32" i="1358"/>
  <c r="M31" i="1358"/>
  <c r="K31" i="1358"/>
  <c r="G31" i="1358"/>
  <c r="I31" i="1358" s="1"/>
  <c r="M30" i="1358"/>
  <c r="K30" i="1358"/>
  <c r="I30" i="1358"/>
  <c r="G30" i="1358"/>
  <c r="M29" i="1358"/>
  <c r="K29" i="1358"/>
  <c r="G29" i="1358"/>
  <c r="I29" i="1358" s="1"/>
  <c r="M28" i="1358"/>
  <c r="K28" i="1358"/>
  <c r="I28" i="1358"/>
  <c r="G28" i="1358"/>
  <c r="M27" i="1358"/>
  <c r="K27" i="1358"/>
  <c r="G27" i="1358"/>
  <c r="I27" i="1358" s="1"/>
  <c r="M26" i="1358"/>
  <c r="G26" i="1358"/>
  <c r="I26" i="1358" s="1"/>
  <c r="G25" i="1358"/>
  <c r="I25" i="1358" s="1"/>
  <c r="K24" i="1358"/>
  <c r="G24" i="1358"/>
  <c r="I24" i="1358" s="1"/>
  <c r="K23" i="1358"/>
  <c r="G23" i="1358"/>
  <c r="I23" i="1358" s="1"/>
  <c r="G22" i="1358"/>
  <c r="I22" i="1358" s="1"/>
  <c r="I21" i="1358"/>
  <c r="G21" i="1358"/>
  <c r="G20" i="1358"/>
  <c r="I20" i="1358" s="1"/>
  <c r="G14" i="1358"/>
  <c r="H14" i="1358" s="1"/>
  <c r="E14" i="1358"/>
  <c r="G13" i="1358"/>
  <c r="H13" i="1358" s="1"/>
  <c r="E13" i="1358"/>
  <c r="G12" i="1358"/>
  <c r="H12" i="1358" s="1"/>
  <c r="E12" i="1358"/>
  <c r="H11" i="1358"/>
  <c r="G11" i="1358"/>
  <c r="E11" i="1358"/>
  <c r="H10" i="1358"/>
  <c r="G10" i="1358"/>
  <c r="E10" i="1358"/>
  <c r="G9" i="1358"/>
  <c r="H9" i="1358" s="1"/>
  <c r="E9" i="1358"/>
  <c r="G8" i="1358"/>
  <c r="H8" i="1358" s="1"/>
  <c r="E8" i="1358"/>
  <c r="H7" i="1358"/>
  <c r="G7" i="1358"/>
  <c r="E7" i="1358"/>
  <c r="G6" i="1358"/>
  <c r="H6" i="1358" s="1"/>
  <c r="E6" i="1358"/>
  <c r="K25" i="1357"/>
  <c r="K24" i="1357"/>
  <c r="L35" i="1357"/>
  <c r="J35" i="1357"/>
  <c r="K34" i="1357"/>
  <c r="G34" i="1357"/>
  <c r="I34" i="1357" s="1"/>
  <c r="K33" i="1357"/>
  <c r="M33" i="1357" s="1"/>
  <c r="G33" i="1357"/>
  <c r="I33" i="1357" s="1"/>
  <c r="M32" i="1357"/>
  <c r="K32" i="1357"/>
  <c r="I32" i="1357"/>
  <c r="G32" i="1357"/>
  <c r="K31" i="1357"/>
  <c r="M31" i="1357" s="1"/>
  <c r="I31" i="1357"/>
  <c r="G31" i="1357"/>
  <c r="M30" i="1357"/>
  <c r="K30" i="1357"/>
  <c r="G30" i="1357"/>
  <c r="I30" i="1357" s="1"/>
  <c r="K29" i="1357"/>
  <c r="M29" i="1357" s="1"/>
  <c r="G29" i="1357"/>
  <c r="I29" i="1357" s="1"/>
  <c r="M28" i="1357"/>
  <c r="K28" i="1357"/>
  <c r="G28" i="1357"/>
  <c r="I28" i="1357" s="1"/>
  <c r="K27" i="1357"/>
  <c r="M27" i="1357" s="1"/>
  <c r="G27" i="1357"/>
  <c r="I27" i="1357" s="1"/>
  <c r="M26" i="1357"/>
  <c r="G26" i="1357"/>
  <c r="I26" i="1357" s="1"/>
  <c r="G25" i="1357"/>
  <c r="I25" i="1357" s="1"/>
  <c r="G24" i="1357"/>
  <c r="I24" i="1357" s="1"/>
  <c r="M23" i="1357"/>
  <c r="K23" i="1357"/>
  <c r="G23" i="1357"/>
  <c r="I23" i="1357" s="1"/>
  <c r="I22" i="1357"/>
  <c r="G22" i="1357"/>
  <c r="I21" i="1357"/>
  <c r="G21" i="1357"/>
  <c r="G20" i="1357"/>
  <c r="I20" i="1357" s="1"/>
  <c r="G14" i="1357"/>
  <c r="H14" i="1357" s="1"/>
  <c r="E14" i="1357"/>
  <c r="G13" i="1357"/>
  <c r="H13" i="1357" s="1"/>
  <c r="E13" i="1357"/>
  <c r="H12" i="1357"/>
  <c r="G12" i="1357"/>
  <c r="E12" i="1357"/>
  <c r="G11" i="1357"/>
  <c r="H11" i="1357" s="1"/>
  <c r="E11" i="1357"/>
  <c r="H10" i="1357"/>
  <c r="G10" i="1357"/>
  <c r="E10" i="1357"/>
  <c r="G9" i="1357"/>
  <c r="H9" i="1357" s="1"/>
  <c r="E9" i="1357"/>
  <c r="G8" i="1357"/>
  <c r="H8" i="1357" s="1"/>
  <c r="E8" i="1357"/>
  <c r="G7" i="1357"/>
  <c r="H7" i="1357" s="1"/>
  <c r="E7" i="1357"/>
  <c r="G6" i="1357"/>
  <c r="H6" i="1357" s="1"/>
  <c r="E6" i="1357"/>
  <c r="K25" i="1356"/>
  <c r="K34" i="1356"/>
  <c r="K24" i="1356"/>
  <c r="L35" i="1356"/>
  <c r="J35" i="1356"/>
  <c r="G34" i="1356"/>
  <c r="I34" i="1356" s="1"/>
  <c r="M33" i="1356"/>
  <c r="K33" i="1356"/>
  <c r="G33" i="1356"/>
  <c r="I33" i="1356" s="1"/>
  <c r="M32" i="1356"/>
  <c r="K32" i="1356"/>
  <c r="G32" i="1356"/>
  <c r="I32" i="1356" s="1"/>
  <c r="M31" i="1356"/>
  <c r="K31" i="1356"/>
  <c r="G31" i="1356"/>
  <c r="I31" i="1356" s="1"/>
  <c r="M30" i="1356"/>
  <c r="K30" i="1356"/>
  <c r="G30" i="1356"/>
  <c r="I30" i="1356" s="1"/>
  <c r="K29" i="1356"/>
  <c r="M29" i="1356" s="1"/>
  <c r="G29" i="1356"/>
  <c r="I29" i="1356" s="1"/>
  <c r="M28" i="1356"/>
  <c r="K28" i="1356"/>
  <c r="G28" i="1356"/>
  <c r="I28" i="1356" s="1"/>
  <c r="M27" i="1356"/>
  <c r="K27" i="1356"/>
  <c r="G27" i="1356"/>
  <c r="I27" i="1356" s="1"/>
  <c r="M26" i="1356"/>
  <c r="G26" i="1356"/>
  <c r="I26" i="1356" s="1"/>
  <c r="G25" i="1356"/>
  <c r="I25" i="1356" s="1"/>
  <c r="G24" i="1356"/>
  <c r="I24" i="1356" s="1"/>
  <c r="K23" i="1356"/>
  <c r="M23" i="1356" s="1"/>
  <c r="G23" i="1356"/>
  <c r="I23" i="1356" s="1"/>
  <c r="G22" i="1356"/>
  <c r="I22" i="1356" s="1"/>
  <c r="I21" i="1356"/>
  <c r="G21" i="1356"/>
  <c r="G20" i="1356"/>
  <c r="I20" i="1356" s="1"/>
  <c r="G14" i="1356"/>
  <c r="H14" i="1356" s="1"/>
  <c r="E14" i="1356"/>
  <c r="G13" i="1356"/>
  <c r="H13" i="1356" s="1"/>
  <c r="E13" i="1356"/>
  <c r="G12" i="1356"/>
  <c r="H12" i="1356" s="1"/>
  <c r="E12" i="1356"/>
  <c r="H11" i="1356"/>
  <c r="G11" i="1356"/>
  <c r="E11" i="1356"/>
  <c r="H10" i="1356"/>
  <c r="G10" i="1356"/>
  <c r="E10" i="1356"/>
  <c r="G9" i="1356"/>
  <c r="H9" i="1356" s="1"/>
  <c r="E9" i="1356"/>
  <c r="G8" i="1356"/>
  <c r="H8" i="1356" s="1"/>
  <c r="E8" i="1356"/>
  <c r="G7" i="1356"/>
  <c r="H7" i="1356" s="1"/>
  <c r="E7" i="1356"/>
  <c r="G6" i="1356"/>
  <c r="H6" i="1356" s="1"/>
  <c r="E6" i="1356"/>
  <c r="L35" i="1355"/>
  <c r="J35" i="1355"/>
  <c r="K34" i="1355"/>
  <c r="G34" i="1355"/>
  <c r="I34" i="1355" s="1"/>
  <c r="K33" i="1355"/>
  <c r="M33" i="1355" s="1"/>
  <c r="I33" i="1355"/>
  <c r="G33" i="1355"/>
  <c r="M32" i="1355"/>
  <c r="K32" i="1355"/>
  <c r="I32" i="1355"/>
  <c r="G32" i="1355"/>
  <c r="K31" i="1355"/>
  <c r="M31" i="1355" s="1"/>
  <c r="I31" i="1355"/>
  <c r="G31" i="1355"/>
  <c r="M30" i="1355"/>
  <c r="K30" i="1355"/>
  <c r="I30" i="1355"/>
  <c r="G30" i="1355"/>
  <c r="K29" i="1355"/>
  <c r="M29" i="1355" s="1"/>
  <c r="I29" i="1355"/>
  <c r="G29" i="1355"/>
  <c r="M28" i="1355"/>
  <c r="K28" i="1355"/>
  <c r="I28" i="1355"/>
  <c r="G28" i="1355"/>
  <c r="K27" i="1355"/>
  <c r="M27" i="1355" s="1"/>
  <c r="I27" i="1355"/>
  <c r="G27" i="1355"/>
  <c r="M26" i="1355"/>
  <c r="G26" i="1355"/>
  <c r="I26" i="1355" s="1"/>
  <c r="K25" i="1355"/>
  <c r="G25" i="1355"/>
  <c r="I25" i="1355" s="1"/>
  <c r="K24" i="1355"/>
  <c r="G24" i="1355"/>
  <c r="I24" i="1355" s="1"/>
  <c r="M23" i="1355"/>
  <c r="K23" i="1355"/>
  <c r="G23" i="1355"/>
  <c r="I23" i="1355" s="1"/>
  <c r="I22" i="1355"/>
  <c r="G22" i="1355"/>
  <c r="G21" i="1355"/>
  <c r="I21" i="1355" s="1"/>
  <c r="I20" i="1355"/>
  <c r="G20" i="1355"/>
  <c r="G14" i="1355"/>
  <c r="H14" i="1355" s="1"/>
  <c r="E14" i="1355"/>
  <c r="H13" i="1355"/>
  <c r="G13" i="1355"/>
  <c r="E13" i="1355"/>
  <c r="G12" i="1355"/>
  <c r="H12" i="1355" s="1"/>
  <c r="E12" i="1355"/>
  <c r="G11" i="1355"/>
  <c r="H11" i="1355" s="1"/>
  <c r="E11" i="1355"/>
  <c r="G10" i="1355"/>
  <c r="H10" i="1355" s="1"/>
  <c r="E10" i="1355"/>
  <c r="G9" i="1355"/>
  <c r="H9" i="1355" s="1"/>
  <c r="E9" i="1355"/>
  <c r="H8" i="1355"/>
  <c r="G8" i="1355"/>
  <c r="E8" i="1355"/>
  <c r="H7" i="1355"/>
  <c r="G7" i="1355"/>
  <c r="E7" i="1355"/>
  <c r="G6" i="1355"/>
  <c r="H6" i="1355" s="1"/>
  <c r="E6" i="1355"/>
  <c r="K24" i="1354"/>
  <c r="K35" i="1354" s="1"/>
  <c r="L35" i="1354"/>
  <c r="J35" i="1354"/>
  <c r="K34" i="1354"/>
  <c r="G34" i="1354"/>
  <c r="I34" i="1354" s="1"/>
  <c r="K33" i="1354"/>
  <c r="M33" i="1354" s="1"/>
  <c r="G33" i="1354"/>
  <c r="I33" i="1354" s="1"/>
  <c r="M32" i="1354"/>
  <c r="K32" i="1354"/>
  <c r="G32" i="1354"/>
  <c r="I32" i="1354" s="1"/>
  <c r="K31" i="1354"/>
  <c r="M31" i="1354" s="1"/>
  <c r="G31" i="1354"/>
  <c r="I31" i="1354" s="1"/>
  <c r="M30" i="1354"/>
  <c r="K30" i="1354"/>
  <c r="I30" i="1354"/>
  <c r="G30" i="1354"/>
  <c r="K29" i="1354"/>
  <c r="M29" i="1354" s="1"/>
  <c r="G29" i="1354"/>
  <c r="I29" i="1354" s="1"/>
  <c r="M28" i="1354"/>
  <c r="K28" i="1354"/>
  <c r="I28" i="1354"/>
  <c r="G28" i="1354"/>
  <c r="K27" i="1354"/>
  <c r="M27" i="1354" s="1"/>
  <c r="G27" i="1354"/>
  <c r="I27" i="1354" s="1"/>
  <c r="M26" i="1354"/>
  <c r="G26" i="1354"/>
  <c r="I26" i="1354" s="1"/>
  <c r="K25" i="1354"/>
  <c r="G25" i="1354"/>
  <c r="I25" i="1354" s="1"/>
  <c r="G24" i="1354"/>
  <c r="I24" i="1354" s="1"/>
  <c r="K23" i="1354"/>
  <c r="M23" i="1354" s="1"/>
  <c r="G23" i="1354"/>
  <c r="I23" i="1354" s="1"/>
  <c r="G22" i="1354"/>
  <c r="I22" i="1354" s="1"/>
  <c r="G21" i="1354"/>
  <c r="I21" i="1354" s="1"/>
  <c r="G20" i="1354"/>
  <c r="I20" i="1354" s="1"/>
  <c r="G14" i="1354"/>
  <c r="H14" i="1354" s="1"/>
  <c r="E14" i="1354"/>
  <c r="G13" i="1354"/>
  <c r="H13" i="1354" s="1"/>
  <c r="E13" i="1354"/>
  <c r="G12" i="1354"/>
  <c r="H12" i="1354" s="1"/>
  <c r="E12" i="1354"/>
  <c r="G11" i="1354"/>
  <c r="H11" i="1354" s="1"/>
  <c r="E11" i="1354"/>
  <c r="G10" i="1354"/>
  <c r="H10" i="1354" s="1"/>
  <c r="E10" i="1354"/>
  <c r="G9" i="1354"/>
  <c r="H9" i="1354" s="1"/>
  <c r="E9" i="1354"/>
  <c r="G8" i="1354"/>
  <c r="H8" i="1354" s="1"/>
  <c r="E8" i="1354"/>
  <c r="H7" i="1354"/>
  <c r="G7" i="1354"/>
  <c r="E7" i="1354"/>
  <c r="G6" i="1354"/>
  <c r="H6" i="1354" s="1"/>
  <c r="E6" i="1354"/>
  <c r="L35" i="1353"/>
  <c r="J35" i="1353"/>
  <c r="K34" i="1353"/>
  <c r="G34" i="1353"/>
  <c r="I34" i="1353" s="1"/>
  <c r="K33" i="1353"/>
  <c r="M33" i="1353" s="1"/>
  <c r="G33" i="1353"/>
  <c r="I33" i="1353" s="1"/>
  <c r="K32" i="1353"/>
  <c r="M32" i="1353" s="1"/>
  <c r="G32" i="1353"/>
  <c r="I32" i="1353" s="1"/>
  <c r="K31" i="1353"/>
  <c r="M31" i="1353" s="1"/>
  <c r="G31" i="1353"/>
  <c r="I31" i="1353" s="1"/>
  <c r="K30" i="1353"/>
  <c r="M30" i="1353" s="1"/>
  <c r="G30" i="1353"/>
  <c r="I30" i="1353" s="1"/>
  <c r="K29" i="1353"/>
  <c r="M29" i="1353" s="1"/>
  <c r="G29" i="1353"/>
  <c r="I29" i="1353" s="1"/>
  <c r="K28" i="1353"/>
  <c r="M28" i="1353" s="1"/>
  <c r="G28" i="1353"/>
  <c r="I28" i="1353" s="1"/>
  <c r="K27" i="1353"/>
  <c r="M27" i="1353" s="1"/>
  <c r="G27" i="1353"/>
  <c r="I27" i="1353" s="1"/>
  <c r="M26" i="1353"/>
  <c r="G26" i="1353"/>
  <c r="I26" i="1353" s="1"/>
  <c r="K25" i="1353"/>
  <c r="G25" i="1353"/>
  <c r="I25" i="1353" s="1"/>
  <c r="K24" i="1353"/>
  <c r="G24" i="1353"/>
  <c r="I24" i="1353" s="1"/>
  <c r="M23" i="1353"/>
  <c r="K23" i="1353"/>
  <c r="K35" i="1353" s="1"/>
  <c r="G23" i="1353"/>
  <c r="I23" i="1353" s="1"/>
  <c r="G22" i="1353"/>
  <c r="I22" i="1353" s="1"/>
  <c r="G21" i="1353"/>
  <c r="I21" i="1353" s="1"/>
  <c r="I20" i="1353"/>
  <c r="G20" i="1353"/>
  <c r="G14" i="1353"/>
  <c r="H14" i="1353" s="1"/>
  <c r="E14" i="1353"/>
  <c r="G13" i="1353"/>
  <c r="H13" i="1353" s="1"/>
  <c r="E13" i="1353"/>
  <c r="H12" i="1353"/>
  <c r="G12" i="1353"/>
  <c r="E12" i="1353"/>
  <c r="G11" i="1353"/>
  <c r="H11" i="1353" s="1"/>
  <c r="E11" i="1353"/>
  <c r="H10" i="1353"/>
  <c r="G10" i="1353"/>
  <c r="E10" i="1353"/>
  <c r="G9" i="1353"/>
  <c r="H9" i="1353" s="1"/>
  <c r="E9" i="1353"/>
  <c r="G8" i="1353"/>
  <c r="H8" i="1353" s="1"/>
  <c r="E8" i="1353"/>
  <c r="G7" i="1353"/>
  <c r="H7" i="1353" s="1"/>
  <c r="E7" i="1353"/>
  <c r="H6" i="1353"/>
  <c r="G6" i="1353"/>
  <c r="E6" i="1353"/>
  <c r="K25" i="1352"/>
  <c r="K24" i="1352"/>
  <c r="L35" i="1352"/>
  <c r="J35" i="1352"/>
  <c r="K34" i="1352"/>
  <c r="G34" i="1352"/>
  <c r="I34" i="1352" s="1"/>
  <c r="K33" i="1352"/>
  <c r="M33" i="1352" s="1"/>
  <c r="G33" i="1352"/>
  <c r="I33" i="1352" s="1"/>
  <c r="K32" i="1352"/>
  <c r="M32" i="1352" s="1"/>
  <c r="G32" i="1352"/>
  <c r="I32" i="1352" s="1"/>
  <c r="K31" i="1352"/>
  <c r="M31" i="1352" s="1"/>
  <c r="G31" i="1352"/>
  <c r="I31" i="1352" s="1"/>
  <c r="K30" i="1352"/>
  <c r="M30" i="1352" s="1"/>
  <c r="G30" i="1352"/>
  <c r="I30" i="1352" s="1"/>
  <c r="K29" i="1352"/>
  <c r="M29" i="1352" s="1"/>
  <c r="G29" i="1352"/>
  <c r="I29" i="1352" s="1"/>
  <c r="K28" i="1352"/>
  <c r="M28" i="1352" s="1"/>
  <c r="G28" i="1352"/>
  <c r="I28" i="1352" s="1"/>
  <c r="K27" i="1352"/>
  <c r="M27" i="1352" s="1"/>
  <c r="G27" i="1352"/>
  <c r="I27" i="1352" s="1"/>
  <c r="M26" i="1352"/>
  <c r="G26" i="1352"/>
  <c r="I26" i="1352" s="1"/>
  <c r="G25" i="1352"/>
  <c r="I25" i="1352" s="1"/>
  <c r="G24" i="1352"/>
  <c r="I24" i="1352" s="1"/>
  <c r="M23" i="1352"/>
  <c r="K23" i="1352"/>
  <c r="G23" i="1352"/>
  <c r="I23" i="1352" s="1"/>
  <c r="G22" i="1352"/>
  <c r="I22" i="1352" s="1"/>
  <c r="I21" i="1352"/>
  <c r="G21" i="1352"/>
  <c r="I20" i="1352"/>
  <c r="G20" i="1352"/>
  <c r="G14" i="1352"/>
  <c r="H14" i="1352" s="1"/>
  <c r="E14" i="1352"/>
  <c r="G13" i="1352"/>
  <c r="H13" i="1352" s="1"/>
  <c r="E13" i="1352"/>
  <c r="H12" i="1352"/>
  <c r="G12" i="1352"/>
  <c r="E12" i="1352"/>
  <c r="G11" i="1352"/>
  <c r="H11" i="1352" s="1"/>
  <c r="E11" i="1352"/>
  <c r="H10" i="1352"/>
  <c r="G10" i="1352"/>
  <c r="E10" i="1352"/>
  <c r="G9" i="1352"/>
  <c r="H9" i="1352" s="1"/>
  <c r="E9" i="1352"/>
  <c r="G8" i="1352"/>
  <c r="H8" i="1352" s="1"/>
  <c r="E8" i="1352"/>
  <c r="G7" i="1352"/>
  <c r="H7" i="1352" s="1"/>
  <c r="E7" i="1352"/>
  <c r="G6" i="1352"/>
  <c r="H6" i="1352" s="1"/>
  <c r="E6" i="1352"/>
  <c r="L35" i="1351"/>
  <c r="J35" i="1351"/>
  <c r="K34" i="1351"/>
  <c r="I34" i="1351"/>
  <c r="G34" i="1351"/>
  <c r="M33" i="1351"/>
  <c r="K33" i="1351"/>
  <c r="G33" i="1351"/>
  <c r="I33" i="1351" s="1"/>
  <c r="M32" i="1351"/>
  <c r="K32" i="1351"/>
  <c r="I32" i="1351"/>
  <c r="G32" i="1351"/>
  <c r="M31" i="1351"/>
  <c r="K31" i="1351"/>
  <c r="G31" i="1351"/>
  <c r="I31" i="1351" s="1"/>
  <c r="M30" i="1351"/>
  <c r="K30" i="1351"/>
  <c r="I30" i="1351"/>
  <c r="G30" i="1351"/>
  <c r="M29" i="1351"/>
  <c r="K29" i="1351"/>
  <c r="G29" i="1351"/>
  <c r="I29" i="1351" s="1"/>
  <c r="M28" i="1351"/>
  <c r="K28" i="1351"/>
  <c r="I28" i="1351"/>
  <c r="G28" i="1351"/>
  <c r="M27" i="1351"/>
  <c r="K27" i="1351"/>
  <c r="G27" i="1351"/>
  <c r="I27" i="1351" s="1"/>
  <c r="M26" i="1351"/>
  <c r="M35" i="1351" s="1"/>
  <c r="G26" i="1351"/>
  <c r="I26" i="1351" s="1"/>
  <c r="K25" i="1351"/>
  <c r="G25" i="1351"/>
  <c r="I25" i="1351" s="1"/>
  <c r="K24" i="1351"/>
  <c r="G24" i="1351"/>
  <c r="I24" i="1351" s="1"/>
  <c r="M23" i="1351"/>
  <c r="K23" i="1351"/>
  <c r="G23" i="1351"/>
  <c r="I23" i="1351" s="1"/>
  <c r="G22" i="1351"/>
  <c r="I22" i="1351" s="1"/>
  <c r="G21" i="1351"/>
  <c r="I21" i="1351" s="1"/>
  <c r="G20" i="1351"/>
  <c r="I20" i="1351" s="1"/>
  <c r="G14" i="1351"/>
  <c r="H14" i="1351" s="1"/>
  <c r="E14" i="1351"/>
  <c r="G13" i="1351"/>
  <c r="H13" i="1351" s="1"/>
  <c r="E13" i="1351"/>
  <c r="H12" i="1351"/>
  <c r="G12" i="1351"/>
  <c r="E12" i="1351"/>
  <c r="G11" i="1351"/>
  <c r="H11" i="1351" s="1"/>
  <c r="E11" i="1351"/>
  <c r="H10" i="1351"/>
  <c r="G10" i="1351"/>
  <c r="E10" i="1351"/>
  <c r="G9" i="1351"/>
  <c r="H9" i="1351" s="1"/>
  <c r="E9" i="1351"/>
  <c r="G8" i="1351"/>
  <c r="H8" i="1351" s="1"/>
  <c r="E8" i="1351"/>
  <c r="H7" i="1351"/>
  <c r="G7" i="1351"/>
  <c r="E7" i="1351"/>
  <c r="G6" i="1351"/>
  <c r="H6" i="1351" s="1"/>
  <c r="E6" i="1351"/>
  <c r="I38" i="1350"/>
  <c r="H38" i="1350"/>
  <c r="K24" i="1350"/>
  <c r="K25" i="1350"/>
  <c r="K34" i="1350"/>
  <c r="L35" i="1350"/>
  <c r="J35" i="1350"/>
  <c r="G34" i="1350"/>
  <c r="I34" i="1350" s="1"/>
  <c r="K33" i="1350"/>
  <c r="M33" i="1350" s="1"/>
  <c r="G33" i="1350"/>
  <c r="I33" i="1350" s="1"/>
  <c r="M32" i="1350"/>
  <c r="K32" i="1350"/>
  <c r="I32" i="1350"/>
  <c r="G32" i="1350"/>
  <c r="K31" i="1350"/>
  <c r="M31" i="1350" s="1"/>
  <c r="I31" i="1350"/>
  <c r="G31" i="1350"/>
  <c r="M30" i="1350"/>
  <c r="K30" i="1350"/>
  <c r="I30" i="1350"/>
  <c r="G30" i="1350"/>
  <c r="K29" i="1350"/>
  <c r="M29" i="1350" s="1"/>
  <c r="I29" i="1350"/>
  <c r="G29" i="1350"/>
  <c r="M28" i="1350"/>
  <c r="K28" i="1350"/>
  <c r="G28" i="1350"/>
  <c r="I28" i="1350" s="1"/>
  <c r="K27" i="1350"/>
  <c r="M27" i="1350" s="1"/>
  <c r="G27" i="1350"/>
  <c r="I27" i="1350" s="1"/>
  <c r="M26" i="1350"/>
  <c r="M35" i="1350" s="1"/>
  <c r="G26" i="1350"/>
  <c r="I26" i="1350" s="1"/>
  <c r="G25" i="1350"/>
  <c r="I25" i="1350" s="1"/>
  <c r="G24" i="1350"/>
  <c r="I24" i="1350" s="1"/>
  <c r="M23" i="1350"/>
  <c r="K23" i="1350"/>
  <c r="G23" i="1350"/>
  <c r="I23" i="1350" s="1"/>
  <c r="G22" i="1350"/>
  <c r="I22" i="1350" s="1"/>
  <c r="G21" i="1350"/>
  <c r="I21" i="1350" s="1"/>
  <c r="I20" i="1350"/>
  <c r="G20" i="1350"/>
  <c r="G14" i="1350"/>
  <c r="H14" i="1350" s="1"/>
  <c r="E14" i="1350"/>
  <c r="H13" i="1350"/>
  <c r="G13" i="1350"/>
  <c r="E13" i="1350"/>
  <c r="H12" i="1350"/>
  <c r="G12" i="1350"/>
  <c r="E12" i="1350"/>
  <c r="G11" i="1350"/>
  <c r="H11" i="1350" s="1"/>
  <c r="E11" i="1350"/>
  <c r="H10" i="1350"/>
  <c r="G10" i="1350"/>
  <c r="E10" i="1350"/>
  <c r="G9" i="1350"/>
  <c r="H9" i="1350" s="1"/>
  <c r="E9" i="1350"/>
  <c r="G8" i="1350"/>
  <c r="H8" i="1350" s="1"/>
  <c r="E8" i="1350"/>
  <c r="H7" i="1350"/>
  <c r="G7" i="1350"/>
  <c r="E7" i="1350"/>
  <c r="H6" i="1350"/>
  <c r="G6" i="1350"/>
  <c r="E6" i="1350"/>
  <c r="K34" i="1349"/>
  <c r="L35" i="1349"/>
  <c r="J35" i="1349"/>
  <c r="G34" i="1349"/>
  <c r="I34" i="1349" s="1"/>
  <c r="M33" i="1349"/>
  <c r="K33" i="1349"/>
  <c r="G33" i="1349"/>
  <c r="I33" i="1349" s="1"/>
  <c r="M32" i="1349"/>
  <c r="K32" i="1349"/>
  <c r="G32" i="1349"/>
  <c r="I32" i="1349" s="1"/>
  <c r="M31" i="1349"/>
  <c r="K31" i="1349"/>
  <c r="G31" i="1349"/>
  <c r="I31" i="1349" s="1"/>
  <c r="M30" i="1349"/>
  <c r="K30" i="1349"/>
  <c r="G30" i="1349"/>
  <c r="I30" i="1349" s="1"/>
  <c r="M29" i="1349"/>
  <c r="K29" i="1349"/>
  <c r="G29" i="1349"/>
  <c r="I29" i="1349" s="1"/>
  <c r="M28" i="1349"/>
  <c r="K28" i="1349"/>
  <c r="G28" i="1349"/>
  <c r="I28" i="1349" s="1"/>
  <c r="M27" i="1349"/>
  <c r="K27" i="1349"/>
  <c r="G27" i="1349"/>
  <c r="I27" i="1349" s="1"/>
  <c r="M26" i="1349"/>
  <c r="G26" i="1349"/>
  <c r="I26" i="1349" s="1"/>
  <c r="K25" i="1349"/>
  <c r="G25" i="1349"/>
  <c r="I25" i="1349" s="1"/>
  <c r="K24" i="1349"/>
  <c r="G24" i="1349"/>
  <c r="I24" i="1349" s="1"/>
  <c r="K23" i="1349"/>
  <c r="M23" i="1349" s="1"/>
  <c r="M35" i="1349" s="1"/>
  <c r="I23" i="1349"/>
  <c r="G23" i="1349"/>
  <c r="G22" i="1349"/>
  <c r="I22" i="1349" s="1"/>
  <c r="G21" i="1349"/>
  <c r="I21" i="1349" s="1"/>
  <c r="G20" i="1349"/>
  <c r="I20" i="1349" s="1"/>
  <c r="G14" i="1349"/>
  <c r="H14" i="1349" s="1"/>
  <c r="E14" i="1349"/>
  <c r="G13" i="1349"/>
  <c r="H13" i="1349" s="1"/>
  <c r="E13" i="1349"/>
  <c r="G12" i="1349"/>
  <c r="H12" i="1349" s="1"/>
  <c r="E12" i="1349"/>
  <c r="G11" i="1349"/>
  <c r="H11" i="1349" s="1"/>
  <c r="E11" i="1349"/>
  <c r="H10" i="1349"/>
  <c r="G10" i="1349"/>
  <c r="E10" i="1349"/>
  <c r="G9" i="1349"/>
  <c r="H9" i="1349" s="1"/>
  <c r="E9" i="1349"/>
  <c r="G8" i="1349"/>
  <c r="H8" i="1349" s="1"/>
  <c r="E8" i="1349"/>
  <c r="H7" i="1349"/>
  <c r="G7" i="1349"/>
  <c r="E7" i="1349"/>
  <c r="H6" i="1349"/>
  <c r="G6" i="1349"/>
  <c r="E6" i="1349"/>
  <c r="L35" i="1348"/>
  <c r="K35" i="1348"/>
  <c r="J35" i="1348"/>
  <c r="G34" i="1348"/>
  <c r="I34" i="1348" s="1"/>
  <c r="K33" i="1348"/>
  <c r="M33" i="1348" s="1"/>
  <c r="G33" i="1348"/>
  <c r="I33" i="1348" s="1"/>
  <c r="K32" i="1348"/>
  <c r="M32" i="1348" s="1"/>
  <c r="I32" i="1348"/>
  <c r="G32" i="1348"/>
  <c r="K31" i="1348"/>
  <c r="M31" i="1348" s="1"/>
  <c r="G31" i="1348"/>
  <c r="I31" i="1348" s="1"/>
  <c r="K30" i="1348"/>
  <c r="M30" i="1348" s="1"/>
  <c r="G30" i="1348"/>
  <c r="I30" i="1348" s="1"/>
  <c r="K29" i="1348"/>
  <c r="M29" i="1348" s="1"/>
  <c r="G29" i="1348"/>
  <c r="I29" i="1348" s="1"/>
  <c r="K28" i="1348"/>
  <c r="M28" i="1348" s="1"/>
  <c r="G28" i="1348"/>
  <c r="I28" i="1348" s="1"/>
  <c r="K27" i="1348"/>
  <c r="M27" i="1348" s="1"/>
  <c r="G27" i="1348"/>
  <c r="I27" i="1348" s="1"/>
  <c r="M26" i="1348"/>
  <c r="I26" i="1348"/>
  <c r="G26" i="1348"/>
  <c r="K25" i="1348"/>
  <c r="G25" i="1348"/>
  <c r="I25" i="1348" s="1"/>
  <c r="K24" i="1348"/>
  <c r="G24" i="1348"/>
  <c r="I24" i="1348" s="1"/>
  <c r="M23" i="1348"/>
  <c r="K23" i="1348"/>
  <c r="G23" i="1348"/>
  <c r="I23" i="1348" s="1"/>
  <c r="G22" i="1348"/>
  <c r="I22" i="1348" s="1"/>
  <c r="G21" i="1348"/>
  <c r="I21" i="1348" s="1"/>
  <c r="G20" i="1348"/>
  <c r="I20" i="1348" s="1"/>
  <c r="G14" i="1348"/>
  <c r="H14" i="1348" s="1"/>
  <c r="E14" i="1348"/>
  <c r="G13" i="1348"/>
  <c r="H13" i="1348" s="1"/>
  <c r="E13" i="1348"/>
  <c r="H12" i="1348"/>
  <c r="G12" i="1348"/>
  <c r="E12" i="1348"/>
  <c r="G11" i="1348"/>
  <c r="H11" i="1348" s="1"/>
  <c r="E11" i="1348"/>
  <c r="G10" i="1348"/>
  <c r="H10" i="1348" s="1"/>
  <c r="E10" i="1348"/>
  <c r="G9" i="1348"/>
  <c r="H9" i="1348" s="1"/>
  <c r="E9" i="1348"/>
  <c r="G8" i="1348"/>
  <c r="H8" i="1348" s="1"/>
  <c r="E8" i="1348"/>
  <c r="G7" i="1348"/>
  <c r="H7" i="1348" s="1"/>
  <c r="E7" i="1348"/>
  <c r="G6" i="1348"/>
  <c r="H6" i="1348" s="1"/>
  <c r="E6" i="1348"/>
  <c r="K25" i="1347"/>
  <c r="L35" i="1347"/>
  <c r="J35" i="1347"/>
  <c r="G34" i="1347"/>
  <c r="I34" i="1347" s="1"/>
  <c r="K33" i="1347"/>
  <c r="M33" i="1347" s="1"/>
  <c r="G33" i="1347"/>
  <c r="I33" i="1347" s="1"/>
  <c r="M32" i="1347"/>
  <c r="K32" i="1347"/>
  <c r="G32" i="1347"/>
  <c r="I32" i="1347" s="1"/>
  <c r="K31" i="1347"/>
  <c r="M31" i="1347" s="1"/>
  <c r="I31" i="1347"/>
  <c r="G31" i="1347"/>
  <c r="M30" i="1347"/>
  <c r="K30" i="1347"/>
  <c r="G30" i="1347"/>
  <c r="I30" i="1347" s="1"/>
  <c r="K29" i="1347"/>
  <c r="M29" i="1347" s="1"/>
  <c r="G29" i="1347"/>
  <c r="I29" i="1347" s="1"/>
  <c r="M28" i="1347"/>
  <c r="K28" i="1347"/>
  <c r="G28" i="1347"/>
  <c r="I28" i="1347" s="1"/>
  <c r="K27" i="1347"/>
  <c r="M27" i="1347" s="1"/>
  <c r="G27" i="1347"/>
  <c r="I27" i="1347" s="1"/>
  <c r="M26" i="1347"/>
  <c r="G26" i="1347"/>
  <c r="I26" i="1347" s="1"/>
  <c r="G25" i="1347"/>
  <c r="I25" i="1347" s="1"/>
  <c r="K24" i="1347"/>
  <c r="G24" i="1347"/>
  <c r="I24" i="1347" s="1"/>
  <c r="K23" i="1347"/>
  <c r="G23" i="1347"/>
  <c r="I23" i="1347" s="1"/>
  <c r="G22" i="1347"/>
  <c r="I22" i="1347" s="1"/>
  <c r="G21" i="1347"/>
  <c r="I21" i="1347" s="1"/>
  <c r="G20" i="1347"/>
  <c r="I20" i="1347" s="1"/>
  <c r="H14" i="1347"/>
  <c r="G14" i="1347"/>
  <c r="E14" i="1347"/>
  <c r="H13" i="1347"/>
  <c r="G13" i="1347"/>
  <c r="E13" i="1347"/>
  <c r="G12" i="1347"/>
  <c r="H12" i="1347" s="1"/>
  <c r="E12" i="1347"/>
  <c r="G11" i="1347"/>
  <c r="H11" i="1347" s="1"/>
  <c r="E11" i="1347"/>
  <c r="G10" i="1347"/>
  <c r="H10" i="1347" s="1"/>
  <c r="E10" i="1347"/>
  <c r="G9" i="1347"/>
  <c r="H9" i="1347" s="1"/>
  <c r="E9" i="1347"/>
  <c r="G8" i="1347"/>
  <c r="H8" i="1347" s="1"/>
  <c r="E8" i="1347"/>
  <c r="H7" i="1347"/>
  <c r="G7" i="1347"/>
  <c r="E7" i="1347"/>
  <c r="H6" i="1347"/>
  <c r="G6" i="1347"/>
  <c r="E6" i="1347"/>
  <c r="K25" i="1346"/>
  <c r="K24" i="1346"/>
  <c r="L35" i="1346"/>
  <c r="J35" i="1346"/>
  <c r="G34" i="1346"/>
  <c r="I34" i="1346" s="1"/>
  <c r="K33" i="1346"/>
  <c r="M33" i="1346" s="1"/>
  <c r="G33" i="1346"/>
  <c r="I33" i="1346" s="1"/>
  <c r="K32" i="1346"/>
  <c r="M32" i="1346" s="1"/>
  <c r="G32" i="1346"/>
  <c r="I32" i="1346" s="1"/>
  <c r="K31" i="1346"/>
  <c r="M31" i="1346" s="1"/>
  <c r="G31" i="1346"/>
  <c r="I31" i="1346" s="1"/>
  <c r="K30" i="1346"/>
  <c r="M30" i="1346" s="1"/>
  <c r="G30" i="1346"/>
  <c r="I30" i="1346" s="1"/>
  <c r="K29" i="1346"/>
  <c r="M29" i="1346" s="1"/>
  <c r="G29" i="1346"/>
  <c r="I29" i="1346" s="1"/>
  <c r="K28" i="1346"/>
  <c r="M28" i="1346" s="1"/>
  <c r="I28" i="1346"/>
  <c r="G28" i="1346"/>
  <c r="K27" i="1346"/>
  <c r="M27" i="1346" s="1"/>
  <c r="G27" i="1346"/>
  <c r="I27" i="1346" s="1"/>
  <c r="M26" i="1346"/>
  <c r="G26" i="1346"/>
  <c r="I26" i="1346" s="1"/>
  <c r="G25" i="1346"/>
  <c r="I25" i="1346" s="1"/>
  <c r="G24" i="1346"/>
  <c r="I24" i="1346" s="1"/>
  <c r="M23" i="1346"/>
  <c r="K23" i="1346"/>
  <c r="G23" i="1346"/>
  <c r="I23" i="1346" s="1"/>
  <c r="G22" i="1346"/>
  <c r="I22" i="1346" s="1"/>
  <c r="G21" i="1346"/>
  <c r="I21" i="1346" s="1"/>
  <c r="I20" i="1346"/>
  <c r="G20" i="1346"/>
  <c r="G14" i="1346"/>
  <c r="H14" i="1346" s="1"/>
  <c r="E14" i="1346"/>
  <c r="G13" i="1346"/>
  <c r="H13" i="1346" s="1"/>
  <c r="E13" i="1346"/>
  <c r="H12" i="1346"/>
  <c r="G12" i="1346"/>
  <c r="E12" i="1346"/>
  <c r="G11" i="1346"/>
  <c r="H11" i="1346" s="1"/>
  <c r="E11" i="1346"/>
  <c r="G10" i="1346"/>
  <c r="H10" i="1346" s="1"/>
  <c r="E10" i="1346"/>
  <c r="G9" i="1346"/>
  <c r="H9" i="1346" s="1"/>
  <c r="E9" i="1346"/>
  <c r="G8" i="1346"/>
  <c r="H8" i="1346" s="1"/>
  <c r="E8" i="1346"/>
  <c r="G7" i="1346"/>
  <c r="H7" i="1346" s="1"/>
  <c r="E7" i="1346"/>
  <c r="G6" i="1346"/>
  <c r="H6" i="1346" s="1"/>
  <c r="E6" i="1346"/>
  <c r="K25" i="1345"/>
  <c r="L35" i="1345"/>
  <c r="J35" i="1345"/>
  <c r="G34" i="1345"/>
  <c r="I34" i="1345" s="1"/>
  <c r="K33" i="1345"/>
  <c r="M33" i="1345" s="1"/>
  <c r="G33" i="1345"/>
  <c r="I33" i="1345" s="1"/>
  <c r="K32" i="1345"/>
  <c r="M32" i="1345" s="1"/>
  <c r="G32" i="1345"/>
  <c r="I32" i="1345" s="1"/>
  <c r="K31" i="1345"/>
  <c r="M31" i="1345" s="1"/>
  <c r="G31" i="1345"/>
  <c r="I31" i="1345" s="1"/>
  <c r="K30" i="1345"/>
  <c r="M30" i="1345" s="1"/>
  <c r="G30" i="1345"/>
  <c r="I30" i="1345" s="1"/>
  <c r="K29" i="1345"/>
  <c r="M29" i="1345" s="1"/>
  <c r="G29" i="1345"/>
  <c r="I29" i="1345" s="1"/>
  <c r="K28" i="1345"/>
  <c r="G28" i="1345"/>
  <c r="I28" i="1345" s="1"/>
  <c r="K27" i="1345"/>
  <c r="M27" i="1345" s="1"/>
  <c r="G27" i="1345"/>
  <c r="I27" i="1345" s="1"/>
  <c r="M26" i="1345"/>
  <c r="G26" i="1345"/>
  <c r="I26" i="1345" s="1"/>
  <c r="G25" i="1345"/>
  <c r="I25" i="1345" s="1"/>
  <c r="K24" i="1345"/>
  <c r="G24" i="1345"/>
  <c r="I24" i="1345" s="1"/>
  <c r="M23" i="1345"/>
  <c r="K23" i="1345"/>
  <c r="I23" i="1345"/>
  <c r="G23" i="1345"/>
  <c r="G22" i="1345"/>
  <c r="I22" i="1345" s="1"/>
  <c r="G21" i="1345"/>
  <c r="I21" i="1345" s="1"/>
  <c r="I20" i="1345"/>
  <c r="G20" i="1345"/>
  <c r="G14" i="1345"/>
  <c r="H14" i="1345" s="1"/>
  <c r="E14" i="1345"/>
  <c r="G13" i="1345"/>
  <c r="H13" i="1345" s="1"/>
  <c r="E13" i="1345"/>
  <c r="H12" i="1345"/>
  <c r="G12" i="1345"/>
  <c r="E12" i="1345"/>
  <c r="G11" i="1345"/>
  <c r="H11" i="1345" s="1"/>
  <c r="E11" i="1345"/>
  <c r="G10" i="1345"/>
  <c r="H10" i="1345" s="1"/>
  <c r="E10" i="1345"/>
  <c r="G9" i="1345"/>
  <c r="H9" i="1345" s="1"/>
  <c r="E9" i="1345"/>
  <c r="G8" i="1345"/>
  <c r="H8" i="1345" s="1"/>
  <c r="E8" i="1345"/>
  <c r="G7" i="1345"/>
  <c r="H7" i="1345" s="1"/>
  <c r="E7" i="1345"/>
  <c r="H6" i="1345"/>
  <c r="G6" i="1345"/>
  <c r="E6" i="1345"/>
  <c r="K25" i="1344"/>
  <c r="L35" i="1344"/>
  <c r="J35" i="1344"/>
  <c r="G34" i="1344"/>
  <c r="I34" i="1344" s="1"/>
  <c r="K33" i="1344"/>
  <c r="M33" i="1344" s="1"/>
  <c r="G33" i="1344"/>
  <c r="I33" i="1344" s="1"/>
  <c r="K32" i="1344"/>
  <c r="M32" i="1344" s="1"/>
  <c r="G32" i="1344"/>
  <c r="I32" i="1344" s="1"/>
  <c r="K31" i="1344"/>
  <c r="M31" i="1344" s="1"/>
  <c r="G31" i="1344"/>
  <c r="I31" i="1344" s="1"/>
  <c r="K30" i="1344"/>
  <c r="M30" i="1344" s="1"/>
  <c r="G30" i="1344"/>
  <c r="I30" i="1344" s="1"/>
  <c r="K29" i="1344"/>
  <c r="M29" i="1344" s="1"/>
  <c r="G29" i="1344"/>
  <c r="I29" i="1344" s="1"/>
  <c r="K28" i="1344"/>
  <c r="M28" i="1344" s="1"/>
  <c r="I28" i="1344"/>
  <c r="G28" i="1344"/>
  <c r="K27" i="1344"/>
  <c r="M27" i="1344" s="1"/>
  <c r="G27" i="1344"/>
  <c r="I27" i="1344" s="1"/>
  <c r="M26" i="1344"/>
  <c r="G26" i="1344"/>
  <c r="I26" i="1344" s="1"/>
  <c r="G25" i="1344"/>
  <c r="I25" i="1344" s="1"/>
  <c r="K24" i="1344"/>
  <c r="I24" i="1344"/>
  <c r="G24" i="1344"/>
  <c r="K23" i="1344"/>
  <c r="G23" i="1344"/>
  <c r="I23" i="1344" s="1"/>
  <c r="I22" i="1344"/>
  <c r="G22" i="1344"/>
  <c r="G21" i="1344"/>
  <c r="I21" i="1344" s="1"/>
  <c r="G20" i="1344"/>
  <c r="I20" i="1344" s="1"/>
  <c r="G14" i="1344"/>
  <c r="H14" i="1344" s="1"/>
  <c r="E14" i="1344"/>
  <c r="G13" i="1344"/>
  <c r="H13" i="1344" s="1"/>
  <c r="E13" i="1344"/>
  <c r="G12" i="1344"/>
  <c r="H12" i="1344" s="1"/>
  <c r="E12" i="1344"/>
  <c r="G11" i="1344"/>
  <c r="H11" i="1344" s="1"/>
  <c r="E11" i="1344"/>
  <c r="H10" i="1344"/>
  <c r="G10" i="1344"/>
  <c r="E10" i="1344"/>
  <c r="G9" i="1344"/>
  <c r="H9" i="1344" s="1"/>
  <c r="E9" i="1344"/>
  <c r="G8" i="1344"/>
  <c r="H8" i="1344" s="1"/>
  <c r="E8" i="1344"/>
  <c r="H7" i="1344"/>
  <c r="G7" i="1344"/>
  <c r="E7" i="1344"/>
  <c r="G6" i="1344"/>
  <c r="H6" i="1344" s="1"/>
  <c r="E6" i="1344"/>
  <c r="K25" i="1343"/>
  <c r="K24" i="1343"/>
  <c r="L35" i="1343"/>
  <c r="J35" i="1343"/>
  <c r="I34" i="1343"/>
  <c r="G34" i="1343"/>
  <c r="K33" i="1343"/>
  <c r="M33" i="1343" s="1"/>
  <c r="G33" i="1343"/>
  <c r="I33" i="1343" s="1"/>
  <c r="K32" i="1343"/>
  <c r="M32" i="1343" s="1"/>
  <c r="G32" i="1343"/>
  <c r="I32" i="1343" s="1"/>
  <c r="K31" i="1343"/>
  <c r="M31" i="1343" s="1"/>
  <c r="G31" i="1343"/>
  <c r="I31" i="1343" s="1"/>
  <c r="K30" i="1343"/>
  <c r="M30" i="1343" s="1"/>
  <c r="G30" i="1343"/>
  <c r="I30" i="1343" s="1"/>
  <c r="K29" i="1343"/>
  <c r="M29" i="1343" s="1"/>
  <c r="G29" i="1343"/>
  <c r="I29" i="1343" s="1"/>
  <c r="K28" i="1343"/>
  <c r="M28" i="1343" s="1"/>
  <c r="G28" i="1343"/>
  <c r="I28" i="1343" s="1"/>
  <c r="K27" i="1343"/>
  <c r="M27" i="1343" s="1"/>
  <c r="G27" i="1343"/>
  <c r="I27" i="1343" s="1"/>
  <c r="M26" i="1343"/>
  <c r="G26" i="1343"/>
  <c r="I26" i="1343" s="1"/>
  <c r="G25" i="1343"/>
  <c r="I25" i="1343" s="1"/>
  <c r="G24" i="1343"/>
  <c r="I24" i="1343" s="1"/>
  <c r="K23" i="1343"/>
  <c r="M23" i="1343" s="1"/>
  <c r="G23" i="1343"/>
  <c r="I23" i="1343" s="1"/>
  <c r="G22" i="1343"/>
  <c r="I22" i="1343" s="1"/>
  <c r="I21" i="1343"/>
  <c r="G21" i="1343"/>
  <c r="G20" i="1343"/>
  <c r="I20" i="1343" s="1"/>
  <c r="G14" i="1343"/>
  <c r="H14" i="1343" s="1"/>
  <c r="E14" i="1343"/>
  <c r="G13" i="1343"/>
  <c r="H13" i="1343" s="1"/>
  <c r="E13" i="1343"/>
  <c r="G12" i="1343"/>
  <c r="H12" i="1343" s="1"/>
  <c r="E12" i="1343"/>
  <c r="G11" i="1343"/>
  <c r="H11" i="1343" s="1"/>
  <c r="E11" i="1343"/>
  <c r="H10" i="1343"/>
  <c r="G10" i="1343"/>
  <c r="E10" i="1343"/>
  <c r="G9" i="1343"/>
  <c r="H9" i="1343" s="1"/>
  <c r="E9" i="1343"/>
  <c r="G8" i="1343"/>
  <c r="H8" i="1343" s="1"/>
  <c r="E8" i="1343"/>
  <c r="G7" i="1343"/>
  <c r="H7" i="1343" s="1"/>
  <c r="E7" i="1343"/>
  <c r="G6" i="1343"/>
  <c r="H6" i="1343" s="1"/>
  <c r="E6" i="1343"/>
  <c r="K25" i="1342"/>
  <c r="L35" i="1342"/>
  <c r="J35" i="1342"/>
  <c r="G34" i="1342"/>
  <c r="I34" i="1342" s="1"/>
  <c r="K33" i="1342"/>
  <c r="M33" i="1342" s="1"/>
  <c r="G33" i="1342"/>
  <c r="I33" i="1342" s="1"/>
  <c r="M32" i="1342"/>
  <c r="K32" i="1342"/>
  <c r="G32" i="1342"/>
  <c r="I32" i="1342" s="1"/>
  <c r="K31" i="1342"/>
  <c r="M31" i="1342" s="1"/>
  <c r="G31" i="1342"/>
  <c r="I31" i="1342" s="1"/>
  <c r="M30" i="1342"/>
  <c r="K30" i="1342"/>
  <c r="G30" i="1342"/>
  <c r="I30" i="1342" s="1"/>
  <c r="K29" i="1342"/>
  <c r="M29" i="1342" s="1"/>
  <c r="G29" i="1342"/>
  <c r="I29" i="1342" s="1"/>
  <c r="M28" i="1342"/>
  <c r="K28" i="1342"/>
  <c r="G28" i="1342"/>
  <c r="I28" i="1342" s="1"/>
  <c r="K27" i="1342"/>
  <c r="M27" i="1342" s="1"/>
  <c r="G27" i="1342"/>
  <c r="I27" i="1342" s="1"/>
  <c r="M26" i="1342"/>
  <c r="G26" i="1342"/>
  <c r="I26" i="1342" s="1"/>
  <c r="G25" i="1342"/>
  <c r="I25" i="1342" s="1"/>
  <c r="K24" i="1342"/>
  <c r="G24" i="1342"/>
  <c r="I24" i="1342" s="1"/>
  <c r="K23" i="1342"/>
  <c r="M23" i="1342" s="1"/>
  <c r="G23" i="1342"/>
  <c r="I23" i="1342" s="1"/>
  <c r="G22" i="1342"/>
  <c r="I22" i="1342" s="1"/>
  <c r="G21" i="1342"/>
  <c r="I21" i="1342" s="1"/>
  <c r="G20" i="1342"/>
  <c r="I20" i="1342" s="1"/>
  <c r="G14" i="1342"/>
  <c r="H14" i="1342" s="1"/>
  <c r="E14" i="1342"/>
  <c r="G13" i="1342"/>
  <c r="H13" i="1342" s="1"/>
  <c r="E13" i="1342"/>
  <c r="G12" i="1342"/>
  <c r="H12" i="1342" s="1"/>
  <c r="E12" i="1342"/>
  <c r="G11" i="1342"/>
  <c r="H11" i="1342" s="1"/>
  <c r="E11" i="1342"/>
  <c r="G10" i="1342"/>
  <c r="H10" i="1342" s="1"/>
  <c r="E10" i="1342"/>
  <c r="G9" i="1342"/>
  <c r="H9" i="1342" s="1"/>
  <c r="E9" i="1342"/>
  <c r="G8" i="1342"/>
  <c r="H8" i="1342" s="1"/>
  <c r="E8" i="1342"/>
  <c r="H7" i="1342"/>
  <c r="G7" i="1342"/>
  <c r="E7" i="1342"/>
  <c r="H6" i="1342"/>
  <c r="G6" i="1342"/>
  <c r="E6" i="1342"/>
  <c r="E9" i="1341"/>
  <c r="L35" i="1341"/>
  <c r="K35" i="1341"/>
  <c r="J35" i="1341"/>
  <c r="G34" i="1341"/>
  <c r="I34" i="1341" s="1"/>
  <c r="K33" i="1341"/>
  <c r="M33" i="1341" s="1"/>
  <c r="G33" i="1341"/>
  <c r="I33" i="1341" s="1"/>
  <c r="K32" i="1341"/>
  <c r="M32" i="1341" s="1"/>
  <c r="I32" i="1341"/>
  <c r="G32" i="1341"/>
  <c r="K31" i="1341"/>
  <c r="M31" i="1341" s="1"/>
  <c r="G31" i="1341"/>
  <c r="I31" i="1341" s="1"/>
  <c r="K30" i="1341"/>
  <c r="M30" i="1341" s="1"/>
  <c r="I30" i="1341"/>
  <c r="G30" i="1341"/>
  <c r="K29" i="1341"/>
  <c r="M29" i="1341" s="1"/>
  <c r="G29" i="1341"/>
  <c r="I29" i="1341" s="1"/>
  <c r="K28" i="1341"/>
  <c r="M28" i="1341" s="1"/>
  <c r="I28" i="1341"/>
  <c r="G28" i="1341"/>
  <c r="K27" i="1341"/>
  <c r="M27" i="1341" s="1"/>
  <c r="G27" i="1341"/>
  <c r="I27" i="1341" s="1"/>
  <c r="M26" i="1341"/>
  <c r="I26" i="1341"/>
  <c r="G26" i="1341"/>
  <c r="K25" i="1341"/>
  <c r="G25" i="1341"/>
  <c r="I25" i="1341" s="1"/>
  <c r="K24" i="1341"/>
  <c r="G24" i="1341"/>
  <c r="I24" i="1341" s="1"/>
  <c r="M23" i="1341"/>
  <c r="K23" i="1341"/>
  <c r="G23" i="1341"/>
  <c r="I23" i="1341" s="1"/>
  <c r="G22" i="1341"/>
  <c r="I22" i="1341" s="1"/>
  <c r="G21" i="1341"/>
  <c r="I21" i="1341" s="1"/>
  <c r="I20" i="1341"/>
  <c r="G20" i="1341"/>
  <c r="G14" i="1341"/>
  <c r="H14" i="1341" s="1"/>
  <c r="E14" i="1341"/>
  <c r="G13" i="1341"/>
  <c r="H13" i="1341" s="1"/>
  <c r="E13" i="1341"/>
  <c r="H12" i="1341"/>
  <c r="G12" i="1341"/>
  <c r="E12" i="1341"/>
  <c r="G11" i="1341"/>
  <c r="H11" i="1341" s="1"/>
  <c r="E11" i="1341"/>
  <c r="G10" i="1341"/>
  <c r="H10" i="1341" s="1"/>
  <c r="E10" i="1341"/>
  <c r="G9" i="1341"/>
  <c r="H9" i="1341" s="1"/>
  <c r="G8" i="1341"/>
  <c r="H8" i="1341" s="1"/>
  <c r="E8" i="1341"/>
  <c r="G7" i="1341"/>
  <c r="H7" i="1341" s="1"/>
  <c r="E7" i="1341"/>
  <c r="G6" i="1341"/>
  <c r="H6" i="1341" s="1"/>
  <c r="E6" i="1341"/>
  <c r="K25" i="1340"/>
  <c r="L35" i="1340"/>
  <c r="J35" i="1340"/>
  <c r="G34" i="1340"/>
  <c r="I34" i="1340" s="1"/>
  <c r="K33" i="1340"/>
  <c r="M33" i="1340" s="1"/>
  <c r="G33" i="1340"/>
  <c r="I33" i="1340" s="1"/>
  <c r="M32" i="1340"/>
  <c r="K32" i="1340"/>
  <c r="G32" i="1340"/>
  <c r="I32" i="1340" s="1"/>
  <c r="K31" i="1340"/>
  <c r="M31" i="1340" s="1"/>
  <c r="G31" i="1340"/>
  <c r="I31" i="1340" s="1"/>
  <c r="M30" i="1340"/>
  <c r="K30" i="1340"/>
  <c r="G30" i="1340"/>
  <c r="I30" i="1340" s="1"/>
  <c r="K29" i="1340"/>
  <c r="M29" i="1340" s="1"/>
  <c r="G29" i="1340"/>
  <c r="I29" i="1340" s="1"/>
  <c r="M28" i="1340"/>
  <c r="K28" i="1340"/>
  <c r="G28" i="1340"/>
  <c r="I28" i="1340" s="1"/>
  <c r="K27" i="1340"/>
  <c r="M27" i="1340" s="1"/>
  <c r="G27" i="1340"/>
  <c r="I27" i="1340" s="1"/>
  <c r="M26" i="1340"/>
  <c r="G26" i="1340"/>
  <c r="I26" i="1340" s="1"/>
  <c r="G25" i="1340"/>
  <c r="I25" i="1340" s="1"/>
  <c r="K24" i="1340"/>
  <c r="G24" i="1340"/>
  <c r="I24" i="1340" s="1"/>
  <c r="M23" i="1340"/>
  <c r="K23" i="1340"/>
  <c r="G23" i="1340"/>
  <c r="I23" i="1340" s="1"/>
  <c r="I22" i="1340"/>
  <c r="G22" i="1340"/>
  <c r="G21" i="1340"/>
  <c r="I21" i="1340" s="1"/>
  <c r="G20" i="1340"/>
  <c r="I20" i="1340" s="1"/>
  <c r="H14" i="1340"/>
  <c r="G14" i="1340"/>
  <c r="E14" i="1340"/>
  <c r="G13" i="1340"/>
  <c r="H13" i="1340" s="1"/>
  <c r="E13" i="1340"/>
  <c r="H12" i="1340"/>
  <c r="G12" i="1340"/>
  <c r="E12" i="1340"/>
  <c r="G11" i="1340"/>
  <c r="H11" i="1340" s="1"/>
  <c r="E11" i="1340"/>
  <c r="G10" i="1340"/>
  <c r="H10" i="1340" s="1"/>
  <c r="E10" i="1340"/>
  <c r="G9" i="1340"/>
  <c r="H9" i="1340" s="1"/>
  <c r="E9" i="1340"/>
  <c r="G8" i="1340"/>
  <c r="H8" i="1340" s="1"/>
  <c r="E8" i="1340"/>
  <c r="G7" i="1340"/>
  <c r="H7" i="1340" s="1"/>
  <c r="E7" i="1340"/>
  <c r="G6" i="1340"/>
  <c r="H6" i="1340" s="1"/>
  <c r="E6" i="1340"/>
  <c r="K25" i="1339"/>
  <c r="K35" i="1339" s="1"/>
  <c r="L35" i="1339"/>
  <c r="J35" i="1339"/>
  <c r="G34" i="1339"/>
  <c r="I34" i="1339" s="1"/>
  <c r="K33" i="1339"/>
  <c r="M33" i="1339" s="1"/>
  <c r="G33" i="1339"/>
  <c r="I33" i="1339" s="1"/>
  <c r="K32" i="1339"/>
  <c r="M32" i="1339" s="1"/>
  <c r="G32" i="1339"/>
  <c r="I32" i="1339" s="1"/>
  <c r="K31" i="1339"/>
  <c r="M31" i="1339" s="1"/>
  <c r="G31" i="1339"/>
  <c r="I31" i="1339" s="1"/>
  <c r="K30" i="1339"/>
  <c r="M30" i="1339" s="1"/>
  <c r="I30" i="1339"/>
  <c r="G30" i="1339"/>
  <c r="K29" i="1339"/>
  <c r="M29" i="1339" s="1"/>
  <c r="G29" i="1339"/>
  <c r="I29" i="1339" s="1"/>
  <c r="K28" i="1339"/>
  <c r="M28" i="1339" s="1"/>
  <c r="G28" i="1339"/>
  <c r="I28" i="1339" s="1"/>
  <c r="K27" i="1339"/>
  <c r="M27" i="1339" s="1"/>
  <c r="G27" i="1339"/>
  <c r="I27" i="1339" s="1"/>
  <c r="M26" i="1339"/>
  <c r="G26" i="1339"/>
  <c r="I26" i="1339" s="1"/>
  <c r="G25" i="1339"/>
  <c r="I25" i="1339" s="1"/>
  <c r="K24" i="1339"/>
  <c r="G24" i="1339"/>
  <c r="I24" i="1339" s="1"/>
  <c r="K23" i="1339"/>
  <c r="M23" i="1339" s="1"/>
  <c r="G23" i="1339"/>
  <c r="I23" i="1339" s="1"/>
  <c r="G22" i="1339"/>
  <c r="I22" i="1339" s="1"/>
  <c r="G21" i="1339"/>
  <c r="I21" i="1339" s="1"/>
  <c r="G20" i="1339"/>
  <c r="I20" i="1339" s="1"/>
  <c r="G14" i="1339"/>
  <c r="H14" i="1339" s="1"/>
  <c r="E14" i="1339"/>
  <c r="G13" i="1339"/>
  <c r="H13" i="1339" s="1"/>
  <c r="E13" i="1339"/>
  <c r="G12" i="1339"/>
  <c r="H12" i="1339" s="1"/>
  <c r="E12" i="1339"/>
  <c r="G11" i="1339"/>
  <c r="H11" i="1339" s="1"/>
  <c r="E11" i="1339"/>
  <c r="G10" i="1339"/>
  <c r="H10" i="1339" s="1"/>
  <c r="E10" i="1339"/>
  <c r="G9" i="1339"/>
  <c r="H9" i="1339" s="1"/>
  <c r="E9" i="1339"/>
  <c r="G8" i="1339"/>
  <c r="H8" i="1339" s="1"/>
  <c r="E8" i="1339"/>
  <c r="G7" i="1339"/>
  <c r="H7" i="1339" s="1"/>
  <c r="E7" i="1339"/>
  <c r="G6" i="1339"/>
  <c r="H6" i="1339" s="1"/>
  <c r="E6" i="1339"/>
  <c r="K25" i="1338"/>
  <c r="K24" i="1338"/>
  <c r="L35" i="1338"/>
  <c r="J35" i="1338"/>
  <c r="G34" i="1338"/>
  <c r="I34" i="1338" s="1"/>
  <c r="K33" i="1338"/>
  <c r="M33" i="1338" s="1"/>
  <c r="G33" i="1338"/>
  <c r="I33" i="1338" s="1"/>
  <c r="K32" i="1338"/>
  <c r="M32" i="1338" s="1"/>
  <c r="G32" i="1338"/>
  <c r="I32" i="1338" s="1"/>
  <c r="M31" i="1338"/>
  <c r="K31" i="1338"/>
  <c r="G31" i="1338"/>
  <c r="I31" i="1338" s="1"/>
  <c r="M30" i="1338"/>
  <c r="K30" i="1338"/>
  <c r="G30" i="1338"/>
  <c r="I30" i="1338" s="1"/>
  <c r="M29" i="1338"/>
  <c r="K29" i="1338"/>
  <c r="G29" i="1338"/>
  <c r="I29" i="1338" s="1"/>
  <c r="M28" i="1338"/>
  <c r="K28" i="1338"/>
  <c r="G28" i="1338"/>
  <c r="I28" i="1338" s="1"/>
  <c r="M27" i="1338"/>
  <c r="K27" i="1338"/>
  <c r="G27" i="1338"/>
  <c r="I27" i="1338" s="1"/>
  <c r="M26" i="1338"/>
  <c r="G26" i="1338"/>
  <c r="I26" i="1338" s="1"/>
  <c r="G25" i="1338"/>
  <c r="I25" i="1338" s="1"/>
  <c r="G24" i="1338"/>
  <c r="I24" i="1338" s="1"/>
  <c r="M23" i="1338"/>
  <c r="M35" i="1338" s="1"/>
  <c r="K23" i="1338"/>
  <c r="G23" i="1338"/>
  <c r="I23" i="1338" s="1"/>
  <c r="G22" i="1338"/>
  <c r="I22" i="1338" s="1"/>
  <c r="G21" i="1338"/>
  <c r="I21" i="1338" s="1"/>
  <c r="I20" i="1338"/>
  <c r="G20" i="1338"/>
  <c r="G14" i="1338"/>
  <c r="H14" i="1338" s="1"/>
  <c r="E14" i="1338"/>
  <c r="G13" i="1338"/>
  <c r="H13" i="1338" s="1"/>
  <c r="E13" i="1338"/>
  <c r="H12" i="1338"/>
  <c r="G12" i="1338"/>
  <c r="E12" i="1338"/>
  <c r="H11" i="1338"/>
  <c r="G11" i="1338"/>
  <c r="E11" i="1338"/>
  <c r="H10" i="1338"/>
  <c r="G10" i="1338"/>
  <c r="E10" i="1338"/>
  <c r="G9" i="1338"/>
  <c r="H9" i="1338" s="1"/>
  <c r="E9" i="1338"/>
  <c r="G8" i="1338"/>
  <c r="H8" i="1338" s="1"/>
  <c r="E8" i="1338"/>
  <c r="G7" i="1338"/>
  <c r="H7" i="1338" s="1"/>
  <c r="E7" i="1338"/>
  <c r="G6" i="1338"/>
  <c r="H6" i="1338" s="1"/>
  <c r="E6" i="1338"/>
  <c r="L35" i="1337"/>
  <c r="J35" i="1337"/>
  <c r="G34" i="1337"/>
  <c r="I34" i="1337" s="1"/>
  <c r="K33" i="1337"/>
  <c r="M33" i="1337" s="1"/>
  <c r="G33" i="1337"/>
  <c r="I33" i="1337" s="1"/>
  <c r="K32" i="1337"/>
  <c r="M32" i="1337" s="1"/>
  <c r="G32" i="1337"/>
  <c r="I32" i="1337" s="1"/>
  <c r="K31" i="1337"/>
  <c r="M31" i="1337" s="1"/>
  <c r="G31" i="1337"/>
  <c r="I31" i="1337" s="1"/>
  <c r="K30" i="1337"/>
  <c r="M30" i="1337" s="1"/>
  <c r="G30" i="1337"/>
  <c r="I30" i="1337" s="1"/>
  <c r="K29" i="1337"/>
  <c r="M29" i="1337" s="1"/>
  <c r="G29" i="1337"/>
  <c r="I29" i="1337" s="1"/>
  <c r="K28" i="1337"/>
  <c r="M28" i="1337" s="1"/>
  <c r="G28" i="1337"/>
  <c r="I28" i="1337" s="1"/>
  <c r="K27" i="1337"/>
  <c r="M27" i="1337" s="1"/>
  <c r="G27" i="1337"/>
  <c r="I27" i="1337" s="1"/>
  <c r="M26" i="1337"/>
  <c r="G26" i="1337"/>
  <c r="I26" i="1337" s="1"/>
  <c r="K25" i="1337"/>
  <c r="G25" i="1337"/>
  <c r="I25" i="1337" s="1"/>
  <c r="K24" i="1337"/>
  <c r="G24" i="1337"/>
  <c r="I24" i="1337" s="1"/>
  <c r="K23" i="1337"/>
  <c r="M23" i="1337" s="1"/>
  <c r="G23" i="1337"/>
  <c r="I23" i="1337" s="1"/>
  <c r="I22" i="1337"/>
  <c r="G22" i="1337"/>
  <c r="G21" i="1337"/>
  <c r="I21" i="1337" s="1"/>
  <c r="G20" i="1337"/>
  <c r="I20" i="1337" s="1"/>
  <c r="G14" i="1337"/>
  <c r="H14" i="1337" s="1"/>
  <c r="E14" i="1337"/>
  <c r="G13" i="1337"/>
  <c r="H13" i="1337" s="1"/>
  <c r="E13" i="1337"/>
  <c r="G12" i="1337"/>
  <c r="H12" i="1337" s="1"/>
  <c r="E12" i="1337"/>
  <c r="G11" i="1337"/>
  <c r="H11" i="1337" s="1"/>
  <c r="E11" i="1337"/>
  <c r="G10" i="1337"/>
  <c r="H10" i="1337" s="1"/>
  <c r="E10" i="1337"/>
  <c r="G9" i="1337"/>
  <c r="H9" i="1337" s="1"/>
  <c r="E9" i="1337"/>
  <c r="G8" i="1337"/>
  <c r="H8" i="1337" s="1"/>
  <c r="E8" i="1337"/>
  <c r="G7" i="1337"/>
  <c r="H7" i="1337" s="1"/>
  <c r="E7" i="1337"/>
  <c r="G6" i="1337"/>
  <c r="H6" i="1337" s="1"/>
  <c r="E6" i="1337"/>
  <c r="K25" i="1336"/>
  <c r="K24" i="1336"/>
  <c r="L35" i="1336"/>
  <c r="J35" i="1336"/>
  <c r="G34" i="1336"/>
  <c r="I34" i="1336" s="1"/>
  <c r="K33" i="1336"/>
  <c r="M33" i="1336" s="1"/>
  <c r="G33" i="1336"/>
  <c r="I33" i="1336" s="1"/>
  <c r="K32" i="1336"/>
  <c r="M32" i="1336" s="1"/>
  <c r="G32" i="1336"/>
  <c r="I32" i="1336" s="1"/>
  <c r="M31" i="1336"/>
  <c r="K31" i="1336"/>
  <c r="G31" i="1336"/>
  <c r="I31" i="1336" s="1"/>
  <c r="K30" i="1336"/>
  <c r="M30" i="1336" s="1"/>
  <c r="I30" i="1336"/>
  <c r="G30" i="1336"/>
  <c r="M29" i="1336"/>
  <c r="K29" i="1336"/>
  <c r="G29" i="1336"/>
  <c r="I29" i="1336" s="1"/>
  <c r="K28" i="1336"/>
  <c r="M28" i="1336" s="1"/>
  <c r="I28" i="1336"/>
  <c r="G28" i="1336"/>
  <c r="M27" i="1336"/>
  <c r="K27" i="1336"/>
  <c r="G27" i="1336"/>
  <c r="I27" i="1336" s="1"/>
  <c r="M26" i="1336"/>
  <c r="G26" i="1336"/>
  <c r="I26" i="1336" s="1"/>
  <c r="G25" i="1336"/>
  <c r="I25" i="1336" s="1"/>
  <c r="G24" i="1336"/>
  <c r="I24" i="1336" s="1"/>
  <c r="M23" i="1336"/>
  <c r="K23" i="1336"/>
  <c r="G23" i="1336"/>
  <c r="I23" i="1336" s="1"/>
  <c r="G22" i="1336"/>
  <c r="I22" i="1336" s="1"/>
  <c r="I21" i="1336"/>
  <c r="G21" i="1336"/>
  <c r="G20" i="1336"/>
  <c r="I20" i="1336" s="1"/>
  <c r="G14" i="1336"/>
  <c r="H14" i="1336" s="1"/>
  <c r="E14" i="1336"/>
  <c r="G13" i="1336"/>
  <c r="H13" i="1336" s="1"/>
  <c r="E13" i="1336"/>
  <c r="H12" i="1336"/>
  <c r="G12" i="1336"/>
  <c r="E12" i="1336"/>
  <c r="H11" i="1336"/>
  <c r="G11" i="1336"/>
  <c r="E11" i="1336"/>
  <c r="H10" i="1336"/>
  <c r="G10" i="1336"/>
  <c r="E10" i="1336"/>
  <c r="G9" i="1336"/>
  <c r="H9" i="1336" s="1"/>
  <c r="E9" i="1336"/>
  <c r="G8" i="1336"/>
  <c r="H8" i="1336" s="1"/>
  <c r="E8" i="1336"/>
  <c r="G7" i="1336"/>
  <c r="H7" i="1336" s="1"/>
  <c r="E7" i="1336"/>
  <c r="G6" i="1336"/>
  <c r="H6" i="1336" s="1"/>
  <c r="E6" i="1336"/>
  <c r="K33" i="1379" l="1"/>
  <c r="I33" i="1379"/>
  <c r="M24" i="1379"/>
  <c r="M33" i="1379" s="1"/>
  <c r="K33" i="1378"/>
  <c r="M33" i="1378"/>
  <c r="I33" i="1378"/>
  <c r="M33" i="1377"/>
  <c r="I33" i="1377"/>
  <c r="K33" i="1377"/>
  <c r="I33" i="1376"/>
  <c r="K33" i="1376"/>
  <c r="I33" i="1374"/>
  <c r="K33" i="1374"/>
  <c r="K33" i="1373"/>
  <c r="M33" i="1373"/>
  <c r="I33" i="1373"/>
  <c r="K33" i="1372"/>
  <c r="I33" i="1372"/>
  <c r="M33" i="1371"/>
  <c r="K33" i="1371"/>
  <c r="I33" i="1371"/>
  <c r="K35" i="1370"/>
  <c r="I35" i="1370"/>
  <c r="I35" i="1369"/>
  <c r="K35" i="1368"/>
  <c r="I35" i="1368"/>
  <c r="M35" i="1368"/>
  <c r="K35" i="1367"/>
  <c r="I35" i="1367"/>
  <c r="M35" i="1366"/>
  <c r="I35" i="1366"/>
  <c r="I35" i="1365"/>
  <c r="M23" i="1365"/>
  <c r="M35" i="1365" s="1"/>
  <c r="K35" i="1364"/>
  <c r="M35" i="1364"/>
  <c r="I35" i="1364"/>
  <c r="K35" i="1363"/>
  <c r="I35" i="1363"/>
  <c r="M35" i="1362"/>
  <c r="I35" i="1362"/>
  <c r="M35" i="1361"/>
  <c r="I35" i="1361"/>
  <c r="I35" i="1360"/>
  <c r="I35" i="1359"/>
  <c r="K35" i="1358"/>
  <c r="I35" i="1358"/>
  <c r="M23" i="1358"/>
  <c r="M35" i="1358" s="1"/>
  <c r="K35" i="1357"/>
  <c r="M35" i="1357"/>
  <c r="I35" i="1357"/>
  <c r="M35" i="1356"/>
  <c r="K35" i="1356"/>
  <c r="I35" i="1356"/>
  <c r="K35" i="1355"/>
  <c r="I35" i="1355"/>
  <c r="M35" i="1355"/>
  <c r="M35" i="1354"/>
  <c r="I35" i="1354"/>
  <c r="I35" i="1353"/>
  <c r="M35" i="1353"/>
  <c r="K35" i="1352"/>
  <c r="M35" i="1352"/>
  <c r="I35" i="1352"/>
  <c r="K35" i="1351"/>
  <c r="I35" i="1351"/>
  <c r="K35" i="1350"/>
  <c r="I35" i="1350"/>
  <c r="K35" i="1349"/>
  <c r="I35" i="1349"/>
  <c r="I35" i="1348"/>
  <c r="M35" i="1348"/>
  <c r="K35" i="1347"/>
  <c r="I35" i="1347"/>
  <c r="M23" i="1347"/>
  <c r="M35" i="1347" s="1"/>
  <c r="K35" i="1346"/>
  <c r="M35" i="1346"/>
  <c r="I35" i="1346"/>
  <c r="K35" i="1345"/>
  <c r="I35" i="1345"/>
  <c r="M28" i="1345"/>
  <c r="M35" i="1345" s="1"/>
  <c r="K35" i="1344"/>
  <c r="I35" i="1344"/>
  <c r="M23" i="1344"/>
  <c r="M35" i="1344" s="1"/>
  <c r="M35" i="1343"/>
  <c r="I35" i="1343"/>
  <c r="K35" i="1343"/>
  <c r="K35" i="1342"/>
  <c r="M35" i="1342"/>
  <c r="I35" i="1342"/>
  <c r="M35" i="1341"/>
  <c r="I35" i="1341"/>
  <c r="K35" i="1340"/>
  <c r="M35" i="1340"/>
  <c r="I35" i="1340"/>
  <c r="M35" i="1339"/>
  <c r="I35" i="1339"/>
  <c r="K35" i="1338"/>
  <c r="I35" i="1338"/>
  <c r="M35" i="1337"/>
  <c r="I35" i="1337"/>
  <c r="K35" i="1337"/>
  <c r="K35" i="1336"/>
  <c r="I35" i="1336"/>
  <c r="M35" i="1336"/>
</calcChain>
</file>

<file path=xl/sharedStrings.xml><?xml version="1.0" encoding="utf-8"?>
<sst xmlns="http://schemas.openxmlformats.org/spreadsheetml/2006/main" count="2465" uniqueCount="101">
  <si>
    <t>PRODUCCIÓN PLANTA HARINA CHI</t>
  </si>
  <si>
    <t>MATERIA PRIMA</t>
  </si>
  <si>
    <t>ESPECIE</t>
  </si>
  <si>
    <t>Saldo Anterior</t>
  </si>
  <si>
    <t>RECEPCION</t>
  </si>
  <si>
    <t>PROCESADA</t>
  </si>
  <si>
    <t>Saldo Actual</t>
  </si>
  <si>
    <t>Sacos</t>
  </si>
  <si>
    <t>T.M</t>
  </si>
  <si>
    <t>Ratio</t>
  </si>
  <si>
    <t>POTA</t>
  </si>
  <si>
    <t>ANCHOVETA</t>
  </si>
  <si>
    <t>LANGOSTINO</t>
  </si>
  <si>
    <t>PERICO</t>
  </si>
  <si>
    <t>MERLUZA</t>
  </si>
  <si>
    <t>CALAMAR</t>
  </si>
  <si>
    <t>TILAPIA</t>
  </si>
  <si>
    <t>PAICHE</t>
  </si>
  <si>
    <t>RESIDUOS ANGUILA</t>
  </si>
  <si>
    <t>TIPO DE HARINA</t>
  </si>
  <si>
    <t>STOCK ANTERIOR T.M</t>
  </si>
  <si>
    <t>PRODUC. T.M</t>
  </si>
  <si>
    <t>SALIDA T.M.</t>
  </si>
  <si>
    <t>INGRESO T.M</t>
  </si>
  <si>
    <t>STOCK ACTUAL T.M</t>
  </si>
  <si>
    <t>COMPROMETIDO</t>
  </si>
  <si>
    <t>LIBRE</t>
  </si>
  <si>
    <t>Produccion Aceite</t>
  </si>
  <si>
    <t>STOCK ACEITE</t>
  </si>
  <si>
    <t>SALIDA ACEITE</t>
  </si>
  <si>
    <t>STOCK FINAL ACEITE</t>
  </si>
  <si>
    <t>PURGA</t>
  </si>
  <si>
    <t>TANQUE</t>
  </si>
  <si>
    <t>HARINA POTA 50kg</t>
  </si>
  <si>
    <t>HARINA POTA 25kg (SINTOA)</t>
  </si>
  <si>
    <t>HARINA ANCHOVETA 50Kg</t>
  </si>
  <si>
    <t>HARINA MERLUZA</t>
  </si>
  <si>
    <t>HARINA ANGUILA</t>
  </si>
  <si>
    <t>HARINA PERICO</t>
  </si>
  <si>
    <t>HARINA LANGOSTINO</t>
  </si>
  <si>
    <t>HARINA X  REPROC.LANGOST</t>
  </si>
  <si>
    <t>HARINA PESCADO HOMOGENIZADA</t>
  </si>
  <si>
    <t>HARINA RESIDUAL S/HOMOGENIZAR(COMPRA)</t>
  </si>
  <si>
    <t>HARINA DESCARTE S/HOMOGENIZAR (COMPRA)</t>
  </si>
  <si>
    <t>HARINA CALAMAR</t>
  </si>
  <si>
    <t>HARINA TILAPIA</t>
  </si>
  <si>
    <t>TOTAL</t>
  </si>
  <si>
    <t xml:space="preserve">OBSERVACIÓN:  </t>
  </si>
  <si>
    <t>HARINA OBSERVADA POR REPROCAR EN PROCESO(HONGEADA)</t>
  </si>
  <si>
    <t>HARINA TRASVASADO X 25 KG</t>
  </si>
  <si>
    <t>MIERCOLES</t>
  </si>
  <si>
    <t>JUEVES</t>
  </si>
  <si>
    <t>VIERNES</t>
  </si>
  <si>
    <t>PRODUCCION -STOCK HARINAS</t>
  </si>
  <si>
    <t>* INGRESARON 34 TN DE HARINA PESCADO DE LA EMPRESA MARINE FACTORY (fecha ingreso 28/10/2023) EN ALMACEN CAROLINA</t>
  </si>
  <si>
    <t>CARAJITO</t>
  </si>
  <si>
    <t>* 17:00 SE REALIZO LIMPIEZA ,PINTADO DE EQUIPOS DE PLANTA PROXIMA AUDITORIA SANIPES</t>
  </si>
  <si>
    <t>SABADO</t>
  </si>
  <si>
    <t>DOMINGO</t>
  </si>
  <si>
    <t>LUNES</t>
  </si>
  <si>
    <t>* SE DESPACHARON 30.0 TN HARINA DE LANGOSTINO PARA VITAPRO</t>
  </si>
  <si>
    <t>MARTES</t>
  </si>
  <si>
    <t xml:space="preserve">* 07:00-18:30 SE PROCEDIO CON LIMPIEZA  ,PINTADO ,MANTENIMIENTO DE EQUIPOS DE PLANTA </t>
  </si>
  <si>
    <t xml:space="preserve">* SE DESPACHARON 30.0 TN DE HARINA DE LANGOSTINO PARAEMPRESA  FEED FISH </t>
  </si>
  <si>
    <t>19:00 inicio proceso (se cambio junta rotativa,se realizo limieza de equipos )</t>
  </si>
  <si>
    <t>* INGRESO 32.0 TN DE HARINA DE PESCADO DE LA EMPRESA MARINE FACTORY</t>
  </si>
  <si>
    <t>* 02:00 AM PARO PRODUCCION (SE ROMPE TUBO DE T.HELICOIDAL DE POZA)</t>
  </si>
  <si>
    <t>* 20:00 INICIO PROCESO(SE REPARO TUBO DE HELICOIDE DE POZA,RECTIFICACION DE JUNTA ROTATIVA CONDESADO)</t>
  </si>
  <si>
    <t>* SE REALIZA PRUEBAS A 03 DINOS CON RESIDUOS S-2000</t>
  </si>
  <si>
    <t>* PROCESO INICIA 21:00</t>
  </si>
  <si>
    <t>* CORTE DE ENERGIA ELECTRICA EN PLANTA HARINA - CAMBIO DE TABLERO Y LINEAS HASTA EL LUNES 27/11/2023</t>
  </si>
  <si>
    <t xml:space="preserve">* SE ALMACENA RESIDUOS PARA PROCESAR EL DIA LUNES </t>
  </si>
  <si>
    <t>* SE DESPACHARON 52.5 TN DE HARINA DE PESCADO PARA RIVETO- ECUADOR -</t>
  </si>
  <si>
    <t>*  CONTINUAN TRABAJOS -CORTE DE ENERGIA ELECTRICA EN PLANTA HARINA - CAMBIO DE TABLERO Y LINEAS HASTA EL LUNES 27/11/2023</t>
  </si>
  <si>
    <t>* 15:00 SE INICIA PROCESO EN PLANTA HARINA  (SE LEVANTAN ALGUNOS PENDIENTES EN EQUIPOS PARTE ELECTRICA)</t>
  </si>
  <si>
    <t>* SE HOMOGENIZARON  513 SACOS HARINA LANGOSTINO - PARA VENTA NACIONAL</t>
  </si>
  <si>
    <t>* SE HOMOGENIZARON  EN PLANTA 472 SACOS DE HARINA DE LANGOSTINO PARA DESPACHO -EXPORTACION</t>
  </si>
  <si>
    <t>* SE DESPACHARON 3.9965 TN DE ACEITE DE PESCADO PARA VENTA EMPRESA TRANS CAR GROUP</t>
  </si>
  <si>
    <t>*  TURNO DIA SE HOMOGENIZARON 1030 SACOS X 25 KG PARA VENTA EXPORTACION -ECUADOR</t>
  </si>
  <si>
    <t>* TURNO NOCHE SE PROCESA</t>
  </si>
  <si>
    <t>* INGRESARON 68.0 TN HARINA DE PESCADO - DESCARTE DE LA EMPRESA MARINE FACTORY</t>
  </si>
  <si>
    <t xml:space="preserve">*  SE HOMOGENIZARON 1030 SACOS HARINA PESCADO X 25 KG TURNO DIA PERSONAL PLANTA </t>
  </si>
  <si>
    <t>* INGRESO 32 TN HARINA PESACDO EMPRESA MARINE FACTORY  (ingreso lunes 04/12/2023 ALMACEN CAROLINA)</t>
  </si>
  <si>
    <t>HARINA PESCADO - RESIDUAL   HOMOGENIZADA</t>
  </si>
  <si>
    <t>HARINA PESCADO - DESCARTE   HOMOGENIZADA</t>
  </si>
  <si>
    <t xml:space="preserve">*  SE REPROCESARON 17 SACOS DE HARINA DE POTA EN PRODUCCION  </t>
  </si>
  <si>
    <t xml:space="preserve">*  SE HOMOGENIZARON738 SACOS DE HARINA DE PESCADO X 25 KG PARA DESPACHO  </t>
  </si>
  <si>
    <t>* 19:00 CORTE DE GAS .PARA INSTALACION DE CONEXIÓN DE GN</t>
  </si>
  <si>
    <t>* SE REALIZAN TRABAJOS PARA LEVANTAR OBSERVACIONES RESANE DE PISO ZONA RECEPCION M.P</t>
  </si>
  <si>
    <t>* SE CONTINUA CON TRABAJOS EN CAMBIO DE ALABES EN PRENSA DE PESCADO</t>
  </si>
  <si>
    <t xml:space="preserve">DOMINGO </t>
  </si>
  <si>
    <t>* PLANTA HARINA PARADA POR INTERCONEXION DE LINEA GAS</t>
  </si>
  <si>
    <t>* 22:00 SE REALIZAN PRUEBAS FALTA PRESION DE GAS PARA MANTENER PRESION - CALDERO 110 PSI PARA ALIMENTAR VAPOR P.H</t>
  </si>
  <si>
    <t>* 01: 00 PARAN PRUEBAS EN CALDERO .</t>
  </si>
  <si>
    <t>*  SE DESPACHARON 50 TN HARINA DE LANGOSTINO PARA TAIWAN(se despacho almacen carolina 11/12/2023)</t>
  </si>
  <si>
    <t>*  SE DESPACHARON 52.5 TN HARINA DE PESCADO PARA RIVETO - ECUADOR</t>
  </si>
  <si>
    <t>*  SE EVACUARON 24 DINOS DE R. PERICO(FALLA EN LINEA DE VALVULA REGULADORA DE GAS - NO SE PROCESO )</t>
  </si>
  <si>
    <t>*  SE EVACUARON 29 DINOS DE  R.LANGOSTINO (FALLA EN LINEA DE VALVULA REGULADORA DE GAS - NO SE PROCESO )</t>
  </si>
  <si>
    <t>*  SE DESPACHARON 30.0 TN HARINA DE LANGOSTINO PARA VITAPRO</t>
  </si>
  <si>
    <t>* 12:00- 16:00 PARO PLANTA MEDICION DE EQUIPOS -MINISTERIO PRODUCE (SE DESTAPO PRENSA Y COCINA)</t>
  </si>
  <si>
    <t xml:space="preserve">* 11:00 - 19:00 AUDITORIA SANIPES EN PLANTA HARINA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</si>
</sst>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dd/mm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51">
    <xf numFmtId="0" fontId="0" fillId="0" borderId="0" xfId="0"/>
    <xf numFmtId="0" fontId="0" fillId="0" borderId="0" xfId="0" applyAlignment="1">
      <alignment horizontal="right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0" fontId="1" fillId="0" borderId="0" xfId="0" applyFont="1"/>
    <xf numFmtId="165" fontId="0" fillId="0" borderId="10" xfId="0" applyNumberFormat="1" applyBorder="1" applyAlignment="1">
      <alignment horizontal="center"/>
    </xf>
    <xf numFmtId="165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3" xfId="0" applyBorder="1"/>
    <xf numFmtId="14" fontId="1" fillId="0" borderId="0" xfId="0" applyNumberFormat="1" applyFont="1"/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14" fontId="12" fillId="0" borderId="0" xfId="0" applyNumberFormat="1" applyFont="1"/>
    <xf numFmtId="0" fontId="12" fillId="0" borderId="0" xfId="0" applyFont="1"/>
    <xf numFmtId="0" fontId="1" fillId="0" borderId="0" xfId="0" applyFont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8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/>
    </xf>
    <xf numFmtId="165" fontId="12" fillId="0" borderId="10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/>
    </xf>
    <xf numFmtId="0" fontId="14" fillId="0" borderId="0" xfId="0" applyFont="1"/>
    <xf numFmtId="165" fontId="8" fillId="0" borderId="0" xfId="0" applyNumberFormat="1" applyFont="1"/>
    <xf numFmtId="164" fontId="1" fillId="0" borderId="0" xfId="0" applyNumberFormat="1" applyFont="1"/>
    <xf numFmtId="165" fontId="0" fillId="0" borderId="13" xfId="0" applyNumberFormat="1" applyBorder="1"/>
    <xf numFmtId="165" fontId="0" fillId="3" borderId="13" xfId="0" applyNumberFormat="1" applyFill="1" applyBorder="1"/>
    <xf numFmtId="165" fontId="0" fillId="0" borderId="14" xfId="0" applyNumberFormat="1" applyBorder="1"/>
    <xf numFmtId="165" fontId="0" fillId="3" borderId="21" xfId="0" applyNumberFormat="1" applyFill="1" applyBorder="1"/>
    <xf numFmtId="165" fontId="0" fillId="0" borderId="19" xfId="0" applyNumberFormat="1" applyBorder="1"/>
    <xf numFmtId="1" fontId="0" fillId="3" borderId="0" xfId="0" applyNumberForma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2" fontId="8" fillId="3" borderId="6" xfId="0" applyNumberFormat="1" applyFon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2" fontId="8" fillId="6" borderId="6" xfId="0" applyNumberFormat="1" applyFon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4" fontId="20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2" fontId="20" fillId="3" borderId="6" xfId="0" applyNumberFormat="1" applyFont="1" applyFill="1" applyBorder="1" applyAlignment="1">
      <alignment horizontal="center"/>
    </xf>
    <xf numFmtId="165" fontId="6" fillId="0" borderId="0" xfId="0" applyNumberFormat="1" applyFont="1"/>
    <xf numFmtId="165" fontId="0" fillId="0" borderId="3" xfId="0" applyNumberFormat="1" applyBorder="1" applyAlignment="1">
      <alignment horizont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/>
    <xf numFmtId="165" fontId="7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top" wrapText="1"/>
    </xf>
    <xf numFmtId="165" fontId="0" fillId="0" borderId="0" xfId="0" applyNumberForma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3" borderId="23" xfId="0" applyNumberFormat="1" applyFill="1" applyBorder="1"/>
    <xf numFmtId="0" fontId="0" fillId="0" borderId="0" xfId="0" applyAlignment="1">
      <alignment wrapText="1"/>
    </xf>
    <xf numFmtId="10" fontId="0" fillId="0" borderId="0" xfId="0" applyNumberFormat="1" applyAlignment="1">
      <alignment horizontal="center"/>
    </xf>
    <xf numFmtId="165" fontId="0" fillId="3" borderId="0" xfId="0" applyNumberFormat="1" applyFill="1"/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5" fontId="0" fillId="3" borderId="24" xfId="0" applyNumberFormat="1" applyFill="1" applyBorder="1"/>
    <xf numFmtId="165" fontId="0" fillId="0" borderId="24" xfId="0" applyNumberFormat="1" applyBorder="1"/>
    <xf numFmtId="165" fontId="8" fillId="0" borderId="15" xfId="0" applyNumberFormat="1" applyFont="1" applyBorder="1" applyAlignment="1">
      <alignment horizontal="right"/>
    </xf>
    <xf numFmtId="165" fontId="12" fillId="0" borderId="6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7" xfId="0" applyFill="1" applyBorder="1"/>
    <xf numFmtId="0" fontId="0" fillId="2" borderId="28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30" xfId="0" applyBorder="1"/>
    <xf numFmtId="2" fontId="0" fillId="0" borderId="4" xfId="0" applyNumberFormat="1" applyBorder="1" applyAlignment="1">
      <alignment horizontal="center" vertical="center"/>
    </xf>
    <xf numFmtId="0" fontId="13" fillId="0" borderId="31" xfId="0" applyFont="1" applyBorder="1" applyAlignment="1">
      <alignment horizontal="left" vertical="top" wrapText="1"/>
    </xf>
    <xf numFmtId="165" fontId="0" fillId="0" borderId="32" xfId="0" applyNumberFormat="1" applyBorder="1" applyAlignment="1">
      <alignment horizontal="center" vertical="center"/>
    </xf>
    <xf numFmtId="165" fontId="12" fillId="0" borderId="33" xfId="0" applyNumberFormat="1" applyFont="1" applyBorder="1" applyAlignment="1">
      <alignment horizontal="center" vertical="center"/>
    </xf>
    <xf numFmtId="165" fontId="12" fillId="0" borderId="34" xfId="0" applyNumberFormat="1" applyFon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1" fillId="4" borderId="36" xfId="0" applyFont="1" applyFill="1" applyBorder="1"/>
    <xf numFmtId="164" fontId="1" fillId="4" borderId="3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30" xfId="0" applyFont="1" applyBorder="1"/>
    <xf numFmtId="0" fontId="10" fillId="6" borderId="30" xfId="0" applyFont="1" applyFill="1" applyBorder="1"/>
    <xf numFmtId="0" fontId="10" fillId="0" borderId="30" xfId="0" applyFont="1" applyBorder="1"/>
    <xf numFmtId="0" fontId="17" fillId="0" borderId="30" xfId="0" applyFont="1" applyBorder="1"/>
    <xf numFmtId="0" fontId="19" fillId="0" borderId="30" xfId="0" applyFont="1" applyBorder="1"/>
    <xf numFmtId="0" fontId="21" fillId="0" borderId="30" xfId="0" applyFont="1" applyBorder="1"/>
    <xf numFmtId="0" fontId="10" fillId="6" borderId="31" xfId="0" applyFont="1" applyFill="1" applyBorder="1"/>
    <xf numFmtId="164" fontId="0" fillId="6" borderId="33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2" fontId="8" fillId="6" borderId="34" xfId="0" applyNumberFormat="1" applyFont="1" applyFill="1" applyBorder="1" applyAlignment="1">
      <alignment horizontal="center"/>
    </xf>
    <xf numFmtId="2" fontId="0" fillId="6" borderId="32" xfId="0" applyNumberFormat="1" applyFill="1" applyBorder="1" applyAlignment="1">
      <alignment horizontal="center"/>
    </xf>
    <xf numFmtId="164" fontId="0" fillId="6" borderId="39" xfId="0" applyNumberFormat="1" applyFill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6" borderId="24" xfId="0" applyNumberFormat="1" applyFill="1" applyBorder="1" applyAlignment="1">
      <alignment horizontal="center"/>
    </xf>
    <xf numFmtId="164" fontId="0" fillId="6" borderId="41" xfId="0" applyNumberForma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165" fontId="8" fillId="6" borderId="3" xfId="0" applyNumberFormat="1" applyFont="1" applyFill="1" applyBorder="1" applyAlignment="1">
      <alignment horizontal="center"/>
    </xf>
    <xf numFmtId="165" fontId="7" fillId="6" borderId="3" xfId="0" applyNumberFormat="1" applyFont="1" applyFill="1" applyBorder="1" applyAlignment="1">
      <alignment horizontal="center"/>
    </xf>
    <xf numFmtId="165" fontId="16" fillId="6" borderId="3" xfId="0" applyNumberFormat="1" applyFont="1" applyFill="1" applyBorder="1" applyAlignment="1">
      <alignment horizontal="center"/>
    </xf>
    <xf numFmtId="165" fontId="0" fillId="0" borderId="3" xfId="0" applyNumberFormat="1" applyBorder="1"/>
    <xf numFmtId="165" fontId="8" fillId="0" borderId="3" xfId="0" applyNumberFormat="1" applyFont="1" applyBorder="1" applyAlignment="1">
      <alignment horizontal="center"/>
    </xf>
    <xf numFmtId="165" fontId="16" fillId="0" borderId="3" xfId="0" applyNumberFormat="1" applyFont="1" applyBorder="1" applyAlignment="1">
      <alignment horizontal="center"/>
    </xf>
    <xf numFmtId="164" fontId="1" fillId="4" borderId="20" xfId="0" applyNumberFormat="1" applyFont="1" applyFill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3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0C05F28-64AA-42CB-B04C-7AA0D607CED6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CAA68-CFBF-47DE-B185-F3910FB09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42157C-1702-46E8-8D15-10900E4B3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A5D292-D320-4219-B52B-4C66792F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348239-07E2-46FE-A34C-D99C989D4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9BB5BD-47E5-4334-B8DD-90D5AB231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D636A1-F156-47A3-BAD2-6CC2190B1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14337" name="Imagen 1">
          <a:extLst>
            <a:ext uri="{FF2B5EF4-FFF2-40B4-BE49-F238E27FC236}">
              <a16:creationId xmlns:a16="http://schemas.microsoft.com/office/drawing/2014/main" id="{B54BEC01-2AB3-ABB9-5B88-C33CE9A89323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AB939-6B6D-4566-86BB-29D8598A8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29501DAD-89CE-49A6-86CB-F6F364DF4A2F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79F200-3E25-4150-A99D-35DCC85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AAFF4DDC-61A9-404B-BFED-82A990DCFA23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151BCD-02FB-409B-B614-27AC8E013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97A2EA1F-98C2-4DCF-BDD7-78DE36AE924F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9F5540-13A6-4794-8886-92A4ABA3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BDFC7728-9C88-4309-BEE0-5C1C5FB31277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D5FA88-3644-40A8-964C-3444E821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6F9D1876-D9FF-4EC7-947C-59373A02EC97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BF1BBB-0C07-437B-87E9-B27FC9793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00F4E4-9EEC-4FE0-A6A2-707C4810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8046BA79-FFF0-48B6-AE39-E15E438D6C21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9308C2-535E-4832-846E-24F3ABF1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B5133E98-5179-48CE-B64F-D7EA4745F11D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6B8750-356C-4820-B6A5-29916875F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73B220B0-0AB5-402A-8994-AC21BA79E900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B21D7E-1CE8-41DB-B3A8-6BC81BE4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BFE55B6A-AC44-445C-8847-257EDEB1566D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5A8338-68A5-4F2D-B42C-CB75146A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10AE1DFE-EF2F-429E-9258-C8E043A00D85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0BCA00-068C-4403-A1C9-7A6508284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62E13EF5-A3E2-422B-81EE-1609C4E383B8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6A9CEF-92D2-4369-BAA6-28107BD0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E11414D6-6625-4A21-8683-428D21F95F7A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19B19B-F526-412D-873C-E9E5A4100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F2882337-1026-4DBF-BBA2-0E88EC38E4F4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044C71-5DCA-4B7C-B74D-A8067B4C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D765D585-0554-4652-A386-8E6EB1F57FA0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6B1B6-AABE-415C-98FC-E6F40D684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957D0BA2-FAFD-4FA5-89C1-ECD25A92C97B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CA7CCC-B847-44F4-8296-D61B5DBF4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BCE11F-E068-43B9-A44F-FBFA82C9B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D6D579BC-184D-4292-A132-94108BC43376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B043A-A3B5-4206-9E00-52C6983ED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90F64E86-BF27-49FD-B700-8F264BF565FE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3B74-C4AF-4A65-850F-7A7E40BFC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47534F34-F194-4A99-B56B-0D835362717C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EBDD0-A9A4-43C4-81C9-E5D1B09AB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6C3AAE7C-F7B4-4938-91F3-E907DF53BDC7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BE783E-F328-4A00-82BD-EACFB573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D059E539-8AD7-4F66-A49D-23E55F34A147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A22583-8B60-4143-BE52-7C8F245C6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15B98EFE-5442-42C5-96DF-D2E69EBD62D2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5EC3B-7445-437B-B5D1-8E898441C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B2DB461B-F9E1-4E99-8993-4C4F88582A86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432C8-E535-4753-B5AD-63BD2B107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326C8980-0698-42D8-AEBC-DE2A53385688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45A6BE-DE9A-474F-BC00-80EAAB2C1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39DC08AB-B07F-48E1-9369-B6460F55B8A3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EC1F6B-1346-4918-8808-A29B0C2EA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6846692E-C39D-4ABB-84B4-73F2C726ABE6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03B8C6-BC21-4652-9537-C96CB99C4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B5D32B-F5D6-4A0B-BAF8-81290BCFF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A95E4A7A-DEE1-4C6B-AE93-BD7D2B20D743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26BFD6-F0A4-492D-B46A-AB1DF65E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66124659-16BE-40BA-B8CC-1C5A54F91676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22C989-DCD6-4D72-B543-3749C35B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B179DC08-6FFF-4D8D-A9E2-4D33EADFEA10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071BF4-796E-45E6-997D-D63BFA68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28A34F13-C043-4611-BCB4-1B7475FE643A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6358DF-43A6-4AAE-95BF-EE75DAD3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20738EBC-DF01-47DC-A3F7-8955C71E6BCD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ED3169-D64B-4EB2-9AF4-8DCCE5DC5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9A81A2BB-E570-4976-8B2C-0178EEEBE8A4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D959D5-6357-4437-B1BC-B11C8C47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D4109CC8-6EF2-4433-9A80-90EB2D1E5373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DD1F89-C81B-4821-950F-66FA5431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180975</xdr:rowOff>
    </xdr:from>
    <xdr:to>
      <xdr:col>0</xdr:col>
      <xdr:colOff>581025</xdr:colOff>
      <xdr:row>2</xdr:row>
      <xdr:rowOff>295275</xdr:rowOff>
    </xdr:to>
    <xdr:sp macro="" textlink="">
      <xdr:nvSpPr>
        <xdr:cNvPr id="3" name="Imagen 1">
          <a:extLst>
            <a:ext uri="{FF2B5EF4-FFF2-40B4-BE49-F238E27FC236}">
              <a16:creationId xmlns:a16="http://schemas.microsoft.com/office/drawing/2014/main" id="{33ABF23E-754D-41FE-B78B-22BB126346CE}"/>
            </a:ext>
          </a:extLst>
        </xdr:cNvPr>
        <xdr:cNvSpPr>
          <a:spLocks noChangeAspect="1" noChangeArrowheads="1"/>
        </xdr:cNvSpPr>
      </xdr:nvSpPr>
      <xdr:spPr bwMode="auto">
        <a:xfrm>
          <a:off x="47625" y="180975"/>
          <a:ext cx="5334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FB4C7B-B2F8-41DE-9054-7F0AD3B4B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0AB4F9-5BB7-497B-A55D-0C2E761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CFF17F-F565-42E8-87C8-E2213760F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3FBB-07F2-4B95-AA0D-D71CDE3F8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48016</xdr:colOff>
      <xdr:row>0</xdr:row>
      <xdr:rowOff>182338</xdr:rowOff>
    </xdr:from>
    <xdr:to>
      <xdr:col>0</xdr:col>
      <xdr:colOff>583163</xdr:colOff>
      <xdr:row>2</xdr:row>
      <xdr:rowOff>297283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95E191-4BA6-4087-8761-298F14E48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16" y="182338"/>
          <a:ext cx="535147" cy="610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B6C8-CD29-4AC9-993F-5F510A676347}">
  <sheetPr>
    <tabColor theme="4" tint="0.59999389629810485"/>
  </sheetPr>
  <dimension ref="A1:U57"/>
  <sheetViews>
    <sheetView zoomScale="98" zoomScaleNormal="98" workbookViewId="0">
      <selection activeCell="I11" sqref="I11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50</v>
      </c>
      <c r="H2" s="21">
        <v>45231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2.0485000000000002</v>
      </c>
      <c r="C6" s="5">
        <v>0</v>
      </c>
      <c r="D6" s="6">
        <v>0</v>
      </c>
      <c r="E6" s="85">
        <f>B6+C6-D6</f>
        <v>2.0485000000000002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15.961499999999999</v>
      </c>
      <c r="C8" s="28">
        <v>0</v>
      </c>
      <c r="D8" s="29">
        <v>0</v>
      </c>
      <c r="E8" s="85">
        <f>B8+C8-D8</f>
        <v>15.961499999999999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15.7454999999999</v>
      </c>
      <c r="C9" s="28">
        <v>0</v>
      </c>
      <c r="D9" s="29">
        <v>0</v>
      </c>
      <c r="E9" s="85">
        <f>B9+C9-D9</f>
        <v>15.7454999999999</v>
      </c>
      <c r="F9" s="7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17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02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26"/>
      <c r="H15" s="27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26"/>
      <c r="H16" s="27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15.75</v>
      </c>
      <c r="D20" s="2">
        <v>0</v>
      </c>
      <c r="E20" s="18">
        <v>0</v>
      </c>
      <c r="F20" s="47">
        <v>0</v>
      </c>
      <c r="G20" s="2">
        <f>C20+D20-E20+F20</f>
        <v>15.75</v>
      </c>
      <c r="H20" s="24">
        <v>0</v>
      </c>
      <c r="I20" s="17">
        <f t="shared" ref="I20:I34" si="3">G20-H20</f>
        <v>15.75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7.9</v>
      </c>
      <c r="D24" s="48">
        <v>0</v>
      </c>
      <c r="E24" s="49">
        <v>0</v>
      </c>
      <c r="F24" s="50">
        <v>0</v>
      </c>
      <c r="G24" s="48">
        <f t="shared" si="4"/>
        <v>7.9</v>
      </c>
      <c r="H24" s="51">
        <v>0</v>
      </c>
      <c r="I24" s="52">
        <f t="shared" si="3"/>
        <v>7.9</v>
      </c>
      <c r="J24" s="126">
        <v>0</v>
      </c>
      <c r="K24" s="134">
        <f>J24+0.15+0.07+0.1</f>
        <v>0.32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134.75</v>
      </c>
      <c r="D25" s="48">
        <v>0</v>
      </c>
      <c r="E25" s="49">
        <v>0</v>
      </c>
      <c r="F25" s="50">
        <v>0</v>
      </c>
      <c r="G25" s="48">
        <f t="shared" si="4"/>
        <v>134.75</v>
      </c>
      <c r="H25" s="51">
        <v>0</v>
      </c>
      <c r="I25" s="52">
        <f t="shared" si="3"/>
        <v>134.75</v>
      </c>
      <c r="J25" s="126">
        <v>0</v>
      </c>
      <c r="K25" s="134">
        <f>J25+0.08+0.09+0.06+0.02+0.08</f>
        <v>0.32999999999999996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117.25</v>
      </c>
      <c r="D26" s="2">
        <v>0</v>
      </c>
      <c r="E26" s="18">
        <v>0</v>
      </c>
      <c r="F26" s="47">
        <v>0</v>
      </c>
      <c r="G26" s="2">
        <f t="shared" si="4"/>
        <v>117.25</v>
      </c>
      <c r="H26" s="24">
        <v>0</v>
      </c>
      <c r="I26" s="17">
        <f t="shared" si="3"/>
        <v>117.25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229.25</v>
      </c>
      <c r="D29" s="54">
        <v>0</v>
      </c>
      <c r="E29" s="55">
        <v>0</v>
      </c>
      <c r="F29" s="56">
        <v>34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864.9</v>
      </c>
      <c r="J35" s="140">
        <f>SUM(J22:J34)</f>
        <v>0</v>
      </c>
      <c r="K35" s="141">
        <f>SUM(K20:K34)</f>
        <v>0.64999999999999991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54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4CED-6EA8-4D38-86E9-12C782EE6316}">
  <sheetPr>
    <tabColor theme="4" tint="0.59999389629810485"/>
  </sheetPr>
  <dimension ref="A1:U57"/>
  <sheetViews>
    <sheetView topLeftCell="A25" zoomScale="98" zoomScaleNormal="98" workbookViewId="0">
      <selection activeCell="E26" sqref="E26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52</v>
      </c>
      <c r="H2" s="21">
        <v>45240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1.6240000000000001</v>
      </c>
      <c r="D6" s="6">
        <v>0</v>
      </c>
      <c r="E6" s="85">
        <f>B6+C6-D6</f>
        <v>1.6240000000000001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12.396999999999998</v>
      </c>
      <c r="C8" s="28">
        <v>5.1844999999999999</v>
      </c>
      <c r="D8" s="29">
        <v>17.581499999999998</v>
      </c>
      <c r="E8" s="85">
        <f>B8+C8-D8</f>
        <v>0</v>
      </c>
      <c r="F8" s="7">
        <v>62</v>
      </c>
      <c r="G8" s="3">
        <f>F8*0.05</f>
        <v>3.1</v>
      </c>
      <c r="H8" s="97">
        <f t="shared" si="1"/>
        <v>5.6714516129032253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11.667499999999894</v>
      </c>
      <c r="C9" s="28">
        <v>29.796500000000002</v>
      </c>
      <c r="D9" s="29">
        <v>25</v>
      </c>
      <c r="E9" s="85">
        <f>B9+C9-D9</f>
        <v>16.463999999999899</v>
      </c>
      <c r="F9" s="142">
        <v>123</v>
      </c>
      <c r="G9" s="3">
        <f t="shared" si="0"/>
        <v>6.15</v>
      </c>
      <c r="H9" s="97">
        <f t="shared" si="1"/>
        <v>4.0650406504065035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1.4690000000000001</v>
      </c>
      <c r="C13" s="30">
        <v>0</v>
      </c>
      <c r="D13" s="29">
        <v>1.4690000000000001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4.9814999999999996</v>
      </c>
      <c r="D14" s="100">
        <v>4.9814999999999996</v>
      </c>
      <c r="E14" s="101">
        <f t="shared" si="2"/>
        <v>0</v>
      </c>
      <c r="F14" s="143">
        <v>24</v>
      </c>
      <c r="G14" s="103">
        <f t="shared" si="0"/>
        <v>1.2000000000000002</v>
      </c>
      <c r="H14" s="104">
        <f t="shared" si="1"/>
        <v>4.1512499999999992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9.7000000000000011</v>
      </c>
      <c r="D24" s="48">
        <v>0.9</v>
      </c>
      <c r="E24" s="49">
        <v>0</v>
      </c>
      <c r="F24" s="50">
        <v>0</v>
      </c>
      <c r="G24" s="48">
        <f t="shared" si="4"/>
        <v>10.600000000000001</v>
      </c>
      <c r="H24" s="51">
        <v>0</v>
      </c>
      <c r="I24" s="52">
        <f t="shared" si="3"/>
        <v>10.600000000000001</v>
      </c>
      <c r="J24" s="126">
        <v>0.1</v>
      </c>
      <c r="K24" s="134">
        <f>J24+0.15+0.07+0.1+0.12+0.13</f>
        <v>0.67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167.45</v>
      </c>
      <c r="D25" s="48">
        <v>5.15</v>
      </c>
      <c r="E25" s="49">
        <v>0</v>
      </c>
      <c r="F25" s="50">
        <v>0</v>
      </c>
      <c r="G25" s="48">
        <f t="shared" si="4"/>
        <v>172.6</v>
      </c>
      <c r="H25" s="51">
        <v>0</v>
      </c>
      <c r="I25" s="52">
        <f t="shared" si="3"/>
        <v>172.6</v>
      </c>
      <c r="J25" s="126">
        <v>0.02</v>
      </c>
      <c r="K25" s="134">
        <f>J25+0.08+0.09+0.06+0.02+0.08+0.05+0.03+0.08+0.04+0.08+0.02</f>
        <v>0.65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105.89999999999999</v>
      </c>
      <c r="D26" s="2">
        <v>3.1</v>
      </c>
      <c r="E26" s="18">
        <v>30</v>
      </c>
      <c r="F26" s="47">
        <v>0</v>
      </c>
      <c r="G26" s="2">
        <f t="shared" si="4"/>
        <v>78.999999999999986</v>
      </c>
      <c r="H26" s="24">
        <v>0</v>
      </c>
      <c r="I26" s="17">
        <f t="shared" si="3"/>
        <v>78.999999999999986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867.95</v>
      </c>
      <c r="J35" s="140">
        <f>SUM(J22:J34)</f>
        <v>0.12000000000000001</v>
      </c>
      <c r="K35" s="141">
        <f>SUM(K20:K34)</f>
        <v>1.32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 t="s">
        <v>63</v>
      </c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B607-18B1-4EE3-8A3A-97D91D8678AD}">
  <sheetPr>
    <tabColor theme="4" tint="0.59999389629810485"/>
  </sheetPr>
  <dimension ref="A1:U57"/>
  <sheetViews>
    <sheetView topLeftCell="A18" zoomScale="98" zoomScaleNormal="98" workbookViewId="0">
      <selection activeCell="D9" sqref="D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57</v>
      </c>
      <c r="H2" s="21">
        <v>45241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1.6240000000000001</v>
      </c>
      <c r="C6" s="5">
        <v>0</v>
      </c>
      <c r="D6" s="6">
        <v>0</v>
      </c>
      <c r="E6" s="85">
        <f>B6+C6-D6</f>
        <v>1.6240000000000001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12.439500000000001</v>
      </c>
      <c r="D8" s="29">
        <v>0</v>
      </c>
      <c r="E8" s="85">
        <f>B8+C8-D8</f>
        <v>12.439500000000001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16.463999999999899</v>
      </c>
      <c r="C9" s="28">
        <v>38.9465</v>
      </c>
      <c r="D9" s="29">
        <v>48</v>
      </c>
      <c r="E9" s="85">
        <f>B9+C9-D9</f>
        <v>7.4104999999998995</v>
      </c>
      <c r="F9" s="142">
        <v>238</v>
      </c>
      <c r="G9" s="3">
        <f t="shared" si="0"/>
        <v>11.9</v>
      </c>
      <c r="H9" s="97">
        <f t="shared" si="1"/>
        <v>4.0336134453781511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10.600000000000001</v>
      </c>
      <c r="D24" s="48">
        <v>0</v>
      </c>
      <c r="E24" s="49">
        <v>0</v>
      </c>
      <c r="F24" s="50">
        <v>0</v>
      </c>
      <c r="G24" s="48">
        <f t="shared" si="4"/>
        <v>10.600000000000001</v>
      </c>
      <c r="H24" s="51">
        <v>0</v>
      </c>
      <c r="I24" s="52">
        <f t="shared" si="3"/>
        <v>10.600000000000001</v>
      </c>
      <c r="J24" s="126">
        <v>0</v>
      </c>
      <c r="K24" s="134">
        <f>J24+0.15+0.07+0.1+0.12+0.13+0.1</f>
        <v>0.67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172.6</v>
      </c>
      <c r="D25" s="48">
        <v>10.4</v>
      </c>
      <c r="E25" s="49">
        <v>0</v>
      </c>
      <c r="F25" s="50">
        <v>0</v>
      </c>
      <c r="G25" s="48">
        <f t="shared" si="4"/>
        <v>183</v>
      </c>
      <c r="H25" s="51">
        <v>0</v>
      </c>
      <c r="I25" s="52">
        <f t="shared" si="3"/>
        <v>183</v>
      </c>
      <c r="J25" s="126">
        <v>0.06</v>
      </c>
      <c r="K25" s="134">
        <f>J25+0.08+0.09+0.06+0.02+0.08+0.05+0.03+0.08+0.04+0.08+0.02+0.02</f>
        <v>0.71000000000000008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78.999999999999986</v>
      </c>
      <c r="D26" s="2">
        <v>0</v>
      </c>
      <c r="E26" s="18">
        <v>0</v>
      </c>
      <c r="F26" s="47">
        <v>0</v>
      </c>
      <c r="G26" s="2">
        <f t="shared" si="4"/>
        <v>78.999999999999986</v>
      </c>
      <c r="H26" s="24">
        <v>0</v>
      </c>
      <c r="I26" s="17">
        <f t="shared" si="3"/>
        <v>78.999999999999986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878.34999999999991</v>
      </c>
      <c r="J35" s="140">
        <f>SUM(J22:J34)</f>
        <v>0.06</v>
      </c>
      <c r="K35" s="141">
        <f>SUM(K20:K34)</f>
        <v>1.3800000000000001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CC4E-091D-408D-A230-369066A8D47C}">
  <sheetPr>
    <tabColor theme="4" tint="0.59999389629810485"/>
  </sheetPr>
  <dimension ref="A1:U57"/>
  <sheetViews>
    <sheetView topLeftCell="A19" zoomScale="98" zoomScaleNormal="98" workbookViewId="0">
      <selection activeCell="A26" sqref="A26:XFD26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58</v>
      </c>
      <c r="H2" s="21">
        <v>45242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1.6240000000000001</v>
      </c>
      <c r="C6" s="5">
        <v>0</v>
      </c>
      <c r="D6" s="6">
        <v>0</v>
      </c>
      <c r="E6" s="85">
        <f>B6+C6-D6</f>
        <v>1.6240000000000001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12.439500000000001</v>
      </c>
      <c r="C8" s="28">
        <v>0</v>
      </c>
      <c r="D8" s="29">
        <v>0</v>
      </c>
      <c r="E8" s="85">
        <f>B8+C8-D8</f>
        <v>12.439500000000001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7.4104999999998995</v>
      </c>
      <c r="C9" s="28">
        <v>0</v>
      </c>
      <c r="D9" s="29">
        <v>0</v>
      </c>
      <c r="E9" s="85">
        <f>B9+C9-D9</f>
        <v>7.4104999999998995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10.600000000000001</v>
      </c>
      <c r="D24" s="48">
        <v>0</v>
      </c>
      <c r="E24" s="49">
        <v>0</v>
      </c>
      <c r="F24" s="50">
        <v>0</v>
      </c>
      <c r="G24" s="48">
        <f t="shared" si="4"/>
        <v>10.600000000000001</v>
      </c>
      <c r="H24" s="51">
        <v>0</v>
      </c>
      <c r="I24" s="52">
        <f t="shared" si="3"/>
        <v>10.600000000000001</v>
      </c>
      <c r="J24" s="126">
        <v>0</v>
      </c>
      <c r="K24" s="134">
        <f>J24+0.15+0.07+0.1+0.12+0.13+0.1</f>
        <v>0.67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183</v>
      </c>
      <c r="D25" s="48">
        <v>0</v>
      </c>
      <c r="E25" s="49">
        <v>0</v>
      </c>
      <c r="F25" s="50">
        <v>0</v>
      </c>
      <c r="G25" s="48">
        <f t="shared" si="4"/>
        <v>183</v>
      </c>
      <c r="H25" s="51">
        <v>0</v>
      </c>
      <c r="I25" s="52">
        <f t="shared" si="3"/>
        <v>183</v>
      </c>
      <c r="J25" s="126">
        <v>0</v>
      </c>
      <c r="K25" s="134">
        <f>J25+0.08+0.09+0.06+0.02+0.08+0.05+0.03+0.08+0.04+0.08+0.02+0.02+0.06</f>
        <v>0.71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78.999999999999986</v>
      </c>
      <c r="D26" s="2">
        <v>0</v>
      </c>
      <c r="E26" s="18">
        <v>0</v>
      </c>
      <c r="F26" s="47">
        <v>0</v>
      </c>
      <c r="G26" s="2">
        <f t="shared" si="4"/>
        <v>78.999999999999986</v>
      </c>
      <c r="H26" s="24">
        <v>0</v>
      </c>
      <c r="I26" s="17">
        <f t="shared" si="3"/>
        <v>78.999999999999986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878.34999999999991</v>
      </c>
      <c r="J35" s="140">
        <f>SUM(J22:J34)</f>
        <v>0</v>
      </c>
      <c r="K35" s="141">
        <f>SUM(K20:K34)</f>
        <v>1.38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6D34-16E4-4C28-A272-3EE506288A8D}">
  <sheetPr>
    <tabColor theme="4" tint="0.59999389629810485"/>
  </sheetPr>
  <dimension ref="A1:U57"/>
  <sheetViews>
    <sheetView topLeftCell="A21" zoomScale="98" zoomScaleNormal="98" workbookViewId="0">
      <selection activeCell="J12" sqref="J12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59</v>
      </c>
      <c r="H2" s="21">
        <v>45243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1.6240000000000001</v>
      </c>
      <c r="C6" s="5">
        <v>0</v>
      </c>
      <c r="D6" s="6">
        <v>1.6240000000000001</v>
      </c>
      <c r="E6" s="85">
        <f>B6+C6-D6</f>
        <v>0</v>
      </c>
      <c r="F6" s="7">
        <v>6</v>
      </c>
      <c r="G6" s="3">
        <f t="shared" ref="G6:G14" si="0">F6*0.05</f>
        <v>0.30000000000000004</v>
      </c>
      <c r="H6" s="97">
        <f t="shared" ref="H6:H14" si="1">D6/G6</f>
        <v>5.4133333333333331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12.439500000000001</v>
      </c>
      <c r="C8" s="28">
        <v>5.0904999999999996</v>
      </c>
      <c r="D8" s="29">
        <v>0</v>
      </c>
      <c r="E8" s="85">
        <f>B8+C8-D8</f>
        <v>17.53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8.4104999999998995</v>
      </c>
      <c r="C9" s="28">
        <v>13.4435</v>
      </c>
      <c r="D9" s="29">
        <v>21.853999999999999</v>
      </c>
      <c r="E9" s="85">
        <f>B9+C9-D9</f>
        <v>-9.9475983006414026E-14</v>
      </c>
      <c r="F9" s="142">
        <v>129</v>
      </c>
      <c r="G9" s="3">
        <f t="shared" si="0"/>
        <v>6.45</v>
      </c>
      <c r="H9" s="97">
        <f t="shared" si="1"/>
        <v>3.3882170542635657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4.5425000000000004</v>
      </c>
      <c r="D12" s="29">
        <v>0</v>
      </c>
      <c r="E12" s="85">
        <f>B12+C12-D12</f>
        <v>4.5425000000000004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5.5065</v>
      </c>
      <c r="D14" s="100">
        <v>0</v>
      </c>
      <c r="E14" s="101">
        <f t="shared" si="2"/>
        <v>5.5065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0.3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10.600000000000001</v>
      </c>
      <c r="D24" s="48">
        <v>0</v>
      </c>
      <c r="E24" s="49">
        <v>0</v>
      </c>
      <c r="F24" s="50">
        <v>0</v>
      </c>
      <c r="G24" s="48">
        <f t="shared" si="4"/>
        <v>10.600000000000001</v>
      </c>
      <c r="H24" s="51">
        <v>0</v>
      </c>
      <c r="I24" s="52">
        <f t="shared" si="3"/>
        <v>10.600000000000001</v>
      </c>
      <c r="J24" s="126">
        <v>0</v>
      </c>
      <c r="K24" s="134">
        <f>J24+0.15+0.07+0.1+0.12+0.13+0.1</f>
        <v>0.67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183</v>
      </c>
      <c r="D25" s="48">
        <v>6.45</v>
      </c>
      <c r="E25" s="49">
        <v>0</v>
      </c>
      <c r="F25" s="50">
        <v>0</v>
      </c>
      <c r="G25" s="48">
        <f t="shared" si="4"/>
        <v>189.45</v>
      </c>
      <c r="H25" s="51">
        <v>0</v>
      </c>
      <c r="I25" s="52">
        <f t="shared" si="3"/>
        <v>189.45</v>
      </c>
      <c r="J25" s="126">
        <v>0</v>
      </c>
      <c r="K25" s="134">
        <f>J25+0.08+0.09+0.06+0.02+0.08+0.05+0.03+0.08+0.04+0.08+0.02+0.02+0.06</f>
        <v>0.71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78.999999999999986</v>
      </c>
      <c r="D26" s="2">
        <v>0</v>
      </c>
      <c r="E26" s="18">
        <v>0</v>
      </c>
      <c r="F26" s="47">
        <v>0</v>
      </c>
      <c r="G26" s="2">
        <f t="shared" si="4"/>
        <v>78.999999999999986</v>
      </c>
      <c r="H26" s="24">
        <v>0</v>
      </c>
      <c r="I26" s="17">
        <f t="shared" si="3"/>
        <v>78.999999999999986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32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917.09999999999991</v>
      </c>
      <c r="J35" s="140">
        <f>SUM(J22:J34)</f>
        <v>0</v>
      </c>
      <c r="K35" s="141">
        <f>SUM(K20:K34)</f>
        <v>1.38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64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 t="s">
        <v>65</v>
      </c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23C7-7E69-4022-A6EB-631E7B10D6AB}">
  <sheetPr>
    <tabColor theme="4" tint="0.59999389629810485"/>
  </sheetPr>
  <dimension ref="A1:U57"/>
  <sheetViews>
    <sheetView topLeftCell="A17" zoomScale="98" zoomScaleNormal="98" workbookViewId="0">
      <selection activeCell="F15" sqref="F15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61</v>
      </c>
      <c r="H2" s="21">
        <v>45244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17.53</v>
      </c>
      <c r="C8" s="28">
        <v>15.1965</v>
      </c>
      <c r="D8" s="29">
        <v>28</v>
      </c>
      <c r="E8" s="85">
        <f>B8+C8-D8</f>
        <v>4.7265000000000015</v>
      </c>
      <c r="F8" s="7">
        <v>82</v>
      </c>
      <c r="G8" s="3">
        <f>F8*0.05</f>
        <v>4.1000000000000005</v>
      </c>
      <c r="H8" s="97">
        <f t="shared" si="1"/>
        <v>6.8292682926829258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-9.9475983006414026E-14</v>
      </c>
      <c r="C9" s="28">
        <v>23.1905</v>
      </c>
      <c r="D9" s="29">
        <v>22</v>
      </c>
      <c r="E9" s="85">
        <f>B9+C9-D9</f>
        <v>1.1904999999999006</v>
      </c>
      <c r="F9" s="142">
        <v>111</v>
      </c>
      <c r="G9" s="3">
        <f t="shared" si="0"/>
        <v>5.5500000000000007</v>
      </c>
      <c r="H9" s="97">
        <f t="shared" si="1"/>
        <v>3.9639639639639634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4.5425000000000004</v>
      </c>
      <c r="C12" s="30">
        <v>0</v>
      </c>
      <c r="D12" s="29">
        <v>4.5425000000000004</v>
      </c>
      <c r="E12" s="85">
        <f>B12+C12-D12</f>
        <v>0</v>
      </c>
      <c r="F12" s="7">
        <v>15</v>
      </c>
      <c r="G12" s="3">
        <f t="shared" si="0"/>
        <v>0.75</v>
      </c>
      <c r="H12" s="97">
        <f t="shared" si="1"/>
        <v>6.0566666666666675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5.5065</v>
      </c>
      <c r="C14" s="100">
        <v>0</v>
      </c>
      <c r="D14" s="100">
        <v>5.5065</v>
      </c>
      <c r="E14" s="101">
        <f t="shared" si="2"/>
        <v>0</v>
      </c>
      <c r="F14" s="143">
        <v>26</v>
      </c>
      <c r="G14" s="103">
        <f t="shared" si="0"/>
        <v>1.3</v>
      </c>
      <c r="H14" s="104">
        <f t="shared" si="1"/>
        <v>4.2357692307692307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0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10.600000000000001</v>
      </c>
      <c r="D24" s="48">
        <v>0.7</v>
      </c>
      <c r="E24" s="49">
        <v>0</v>
      </c>
      <c r="F24" s="50">
        <v>0</v>
      </c>
      <c r="G24" s="48">
        <f t="shared" si="4"/>
        <v>11.3</v>
      </c>
      <c r="H24" s="51">
        <v>0</v>
      </c>
      <c r="I24" s="52">
        <f t="shared" si="3"/>
        <v>11.3</v>
      </c>
      <c r="J24" s="126">
        <v>0.12</v>
      </c>
      <c r="K24" s="134">
        <f>J24+0.15+0.07+0.1+0.12+0.13+0.1</f>
        <v>0.79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189.45</v>
      </c>
      <c r="D25" s="48">
        <v>5.55</v>
      </c>
      <c r="E25" s="49">
        <v>0</v>
      </c>
      <c r="F25" s="50">
        <v>0</v>
      </c>
      <c r="G25" s="48">
        <f t="shared" si="4"/>
        <v>195</v>
      </c>
      <c r="H25" s="51">
        <v>0</v>
      </c>
      <c r="I25" s="52">
        <f t="shared" si="3"/>
        <v>195</v>
      </c>
      <c r="J25" s="126">
        <v>0.03</v>
      </c>
      <c r="K25" s="134">
        <f>J25+0.08+0.09+0.06+0.02+0.08+0.05+0.03+0.08+0.04+0.08+0.02+0.02+0.06</f>
        <v>0.74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78.999999999999986</v>
      </c>
      <c r="D26" s="2">
        <v>4.0999999999999996</v>
      </c>
      <c r="E26" s="18">
        <v>0</v>
      </c>
      <c r="F26" s="47">
        <v>0</v>
      </c>
      <c r="G26" s="2">
        <f t="shared" si="4"/>
        <v>83.09999999999998</v>
      </c>
      <c r="H26" s="24">
        <v>0</v>
      </c>
      <c r="I26" s="17">
        <f t="shared" si="3"/>
        <v>83.09999999999998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0.75</v>
      </c>
      <c r="E34" s="121">
        <v>0</v>
      </c>
      <c r="F34" s="122">
        <v>0</v>
      </c>
      <c r="G34" s="120">
        <f t="shared" si="4"/>
        <v>10.5</v>
      </c>
      <c r="H34" s="123">
        <v>0</v>
      </c>
      <c r="I34" s="124">
        <f t="shared" si="3"/>
        <v>10.5</v>
      </c>
      <c r="J34" s="127">
        <v>0.2</v>
      </c>
      <c r="K34" s="134">
        <f>J34</f>
        <v>0.2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928.2</v>
      </c>
      <c r="J35" s="140">
        <f>SUM(J22:J34)</f>
        <v>0.35</v>
      </c>
      <c r="K35" s="141">
        <f>SUM(K20:K34)</f>
        <v>1.73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66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00EC6-80FA-40E4-B47A-81AF8C07A206}">
  <sheetPr>
    <tabColor theme="4" tint="0.59999389629810485"/>
  </sheetPr>
  <dimension ref="A1:U57"/>
  <sheetViews>
    <sheetView topLeftCell="A2" zoomScale="98" zoomScaleNormal="98" workbookViewId="0">
      <selection activeCell="H38" sqref="H38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50</v>
      </c>
      <c r="H2" s="21">
        <v>45245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4.7265000000000015</v>
      </c>
      <c r="C8" s="28">
        <v>9.4529999999999994</v>
      </c>
      <c r="D8" s="29">
        <v>14.179500000000001</v>
      </c>
      <c r="E8" s="85">
        <f>B8+C8-D8</f>
        <v>0</v>
      </c>
      <c r="F8" s="7">
        <v>83</v>
      </c>
      <c r="G8" s="3">
        <f>F8*0.05</f>
        <v>4.1500000000000004</v>
      </c>
      <c r="H8" s="97">
        <f t="shared" si="1"/>
        <v>3.4167469879518073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1.1904999999999006</v>
      </c>
      <c r="C9" s="28">
        <v>4.7895000000000003</v>
      </c>
      <c r="D9" s="29">
        <v>2.7</v>
      </c>
      <c r="E9" s="85">
        <f>B9+C9-D9</f>
        <v>3.2799999999999008</v>
      </c>
      <c r="F9" s="142">
        <v>12</v>
      </c>
      <c r="G9" s="3">
        <f t="shared" si="0"/>
        <v>0.60000000000000009</v>
      </c>
      <c r="H9" s="97">
        <f t="shared" si="1"/>
        <v>4.5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0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11.3</v>
      </c>
      <c r="D24" s="48">
        <v>0</v>
      </c>
      <c r="E24" s="49">
        <v>0</v>
      </c>
      <c r="F24" s="50">
        <v>0</v>
      </c>
      <c r="G24" s="48">
        <f t="shared" si="4"/>
        <v>11.3</v>
      </c>
      <c r="H24" s="51">
        <v>0</v>
      </c>
      <c r="I24" s="52">
        <f t="shared" si="3"/>
        <v>11.3</v>
      </c>
      <c r="J24" s="126">
        <v>0</v>
      </c>
      <c r="K24" s="134">
        <f>J24+0.15+0.07+0.1+0.12+0.13+0.1+0.12</f>
        <v>0.79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195</v>
      </c>
      <c r="D25" s="48">
        <v>0.6</v>
      </c>
      <c r="E25" s="49">
        <v>0</v>
      </c>
      <c r="F25" s="50">
        <v>0</v>
      </c>
      <c r="G25" s="48">
        <f t="shared" si="4"/>
        <v>195.6</v>
      </c>
      <c r="H25" s="51">
        <v>0</v>
      </c>
      <c r="I25" s="52">
        <f t="shared" si="3"/>
        <v>195.6</v>
      </c>
      <c r="J25" s="126">
        <v>0</v>
      </c>
      <c r="K25" s="134">
        <f>J25+0.08+0.09+0.06+0.02+0.08+0.05+0.03+0.08+0.04+0.08+0.02+0.02+0.06+0.03</f>
        <v>0.74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83.09999999999998</v>
      </c>
      <c r="D26" s="2">
        <v>4.1500000000000004</v>
      </c>
      <c r="E26" s="18">
        <v>0</v>
      </c>
      <c r="F26" s="47">
        <v>0</v>
      </c>
      <c r="G26" s="2">
        <f t="shared" si="4"/>
        <v>87.249999999999986</v>
      </c>
      <c r="H26" s="24">
        <v>0</v>
      </c>
      <c r="I26" s="17">
        <f t="shared" si="3"/>
        <v>87.249999999999986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10.5</v>
      </c>
      <c r="D34" s="120">
        <v>0</v>
      </c>
      <c r="E34" s="121">
        <v>0</v>
      </c>
      <c r="F34" s="122">
        <v>0</v>
      </c>
      <c r="G34" s="120">
        <f t="shared" si="4"/>
        <v>10.5</v>
      </c>
      <c r="H34" s="123">
        <v>0</v>
      </c>
      <c r="I34" s="124">
        <f t="shared" si="3"/>
        <v>10.5</v>
      </c>
      <c r="J34" s="127">
        <v>0</v>
      </c>
      <c r="K34" s="134">
        <f>J34+0.2</f>
        <v>0.2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932.95</v>
      </c>
      <c r="J35" s="140">
        <f>SUM(J22:J34)</f>
        <v>0</v>
      </c>
      <c r="K35" s="141">
        <f>SUM(K20:K34)</f>
        <v>1.73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>
        <f>148.3895*320</f>
        <v>47484.639999999999</v>
      </c>
      <c r="I38" s="13">
        <f>67.9705*320</f>
        <v>21750.560000000001</v>
      </c>
      <c r="J38" s="63"/>
      <c r="K38" s="20"/>
      <c r="L38" s="20"/>
      <c r="M38" s="25"/>
      <c r="N38" s="39"/>
      <c r="O38" s="20"/>
    </row>
    <row r="39" spans="2:15" x14ac:dyDescent="0.25">
      <c r="B39" s="4" t="s">
        <v>67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5D5F-D266-497A-8B4C-AE13A83C7BE5}">
  <sheetPr>
    <tabColor theme="4" tint="0.59999389629810485"/>
  </sheetPr>
  <dimension ref="A1:U57"/>
  <sheetViews>
    <sheetView topLeftCell="A3" zoomScale="98" zoomScaleNormal="98" workbookViewId="0">
      <selection activeCell="F14" sqref="F14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51</v>
      </c>
      <c r="H2" s="21">
        <v>45246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14.573</v>
      </c>
      <c r="D8" s="29">
        <v>8</v>
      </c>
      <c r="E8" s="85">
        <f>B8+C8-D8</f>
        <v>6.5730000000000004</v>
      </c>
      <c r="F8" s="7">
        <v>35</v>
      </c>
      <c r="G8" s="3">
        <f>F8*0.05</f>
        <v>1.75</v>
      </c>
      <c r="H8" s="97">
        <f t="shared" si="1"/>
        <v>4.5714285714285712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3.2799999999999008</v>
      </c>
      <c r="C9" s="28">
        <v>18.007999999999999</v>
      </c>
      <c r="D9" s="29">
        <v>21.288</v>
      </c>
      <c r="E9" s="85">
        <f>B9+C9-D9</f>
        <v>-9.9475983006414026E-14</v>
      </c>
      <c r="F9" s="142">
        <v>97</v>
      </c>
      <c r="G9" s="3">
        <f t="shared" si="0"/>
        <v>4.8500000000000005</v>
      </c>
      <c r="H9" s="97">
        <f t="shared" si="1"/>
        <v>4.3892783505154638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5.0145</v>
      </c>
      <c r="D14" s="100">
        <v>5.0145</v>
      </c>
      <c r="E14" s="101">
        <f t="shared" si="2"/>
        <v>0</v>
      </c>
      <c r="F14" s="143">
        <v>23</v>
      </c>
      <c r="G14" s="103">
        <f t="shared" si="0"/>
        <v>1.1500000000000001</v>
      </c>
      <c r="H14" s="104">
        <f t="shared" si="1"/>
        <v>4.3604347826086949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0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11.3</v>
      </c>
      <c r="D24" s="48">
        <v>0.75</v>
      </c>
      <c r="E24" s="49">
        <v>0</v>
      </c>
      <c r="F24" s="50">
        <v>0</v>
      </c>
      <c r="G24" s="48">
        <f t="shared" si="4"/>
        <v>12.05</v>
      </c>
      <c r="H24" s="51">
        <v>0</v>
      </c>
      <c r="I24" s="52">
        <f t="shared" si="3"/>
        <v>12.05</v>
      </c>
      <c r="J24" s="126">
        <v>0.12</v>
      </c>
      <c r="K24" s="134">
        <f>J24+0.15+0.07+0.1+0.12+0.13+0.1+0.12</f>
        <v>0.91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195.6</v>
      </c>
      <c r="D25" s="48">
        <v>4.8499999999999996</v>
      </c>
      <c r="E25" s="49">
        <v>0</v>
      </c>
      <c r="F25" s="50">
        <v>0</v>
      </c>
      <c r="G25" s="48">
        <f t="shared" si="4"/>
        <v>200.45</v>
      </c>
      <c r="H25" s="51">
        <v>0</v>
      </c>
      <c r="I25" s="52">
        <f t="shared" si="3"/>
        <v>200.45</v>
      </c>
      <c r="J25" s="126">
        <v>0.03</v>
      </c>
      <c r="K25" s="134">
        <f>J25+0.08+0.09+0.06+0.02+0.08+0.05+0.03+0.08+0.04+0.08+0.02+0.02+0.06+0.03</f>
        <v>0.77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87.249999999999986</v>
      </c>
      <c r="D26" s="2">
        <v>1.75</v>
      </c>
      <c r="E26" s="18">
        <v>0</v>
      </c>
      <c r="F26" s="47">
        <v>0</v>
      </c>
      <c r="G26" s="2">
        <f t="shared" si="4"/>
        <v>88.999999999999986</v>
      </c>
      <c r="H26" s="24">
        <v>0</v>
      </c>
      <c r="I26" s="17">
        <f t="shared" si="3"/>
        <v>88.999999999999986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10.5</v>
      </c>
      <c r="D34" s="120">
        <v>0</v>
      </c>
      <c r="E34" s="121">
        <v>0</v>
      </c>
      <c r="F34" s="122">
        <v>0</v>
      </c>
      <c r="G34" s="120">
        <f t="shared" si="4"/>
        <v>10.5</v>
      </c>
      <c r="H34" s="123">
        <v>0</v>
      </c>
      <c r="I34" s="124">
        <f t="shared" si="3"/>
        <v>10.5</v>
      </c>
      <c r="J34" s="127">
        <v>0</v>
      </c>
      <c r="K34" s="134">
        <f>J34+0.2</f>
        <v>0.2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940.3</v>
      </c>
      <c r="J35" s="140">
        <f>SUM(J22:J34)</f>
        <v>0.15</v>
      </c>
      <c r="K35" s="141">
        <f>SUM(K20:K34)</f>
        <v>1.8800000000000001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6B9D-FF44-4540-AA9B-9E94D884BB34}">
  <sheetPr>
    <tabColor theme="4" tint="0.59999389629810485"/>
  </sheetPr>
  <dimension ref="A1:U57"/>
  <sheetViews>
    <sheetView topLeftCell="A5" zoomScale="98" zoomScaleNormal="98" workbookViewId="0">
      <selection activeCell="J39" sqref="J3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52</v>
      </c>
      <c r="H2" s="21">
        <v>45247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6.5730000000000004</v>
      </c>
      <c r="C8" s="28">
        <v>9.9444999999999997</v>
      </c>
      <c r="D8" s="29">
        <v>14</v>
      </c>
      <c r="E8" s="85">
        <f>B8+C8-D8</f>
        <v>2.5174999999999983</v>
      </c>
      <c r="F8" s="7">
        <v>68</v>
      </c>
      <c r="G8" s="3">
        <f>F8*0.05</f>
        <v>3.4000000000000004</v>
      </c>
      <c r="H8" s="97">
        <f t="shared" si="1"/>
        <v>4.117647058823529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-9.9475983006414026E-14</v>
      </c>
      <c r="C9" s="28">
        <v>4.9329999999999998</v>
      </c>
      <c r="D9" s="29">
        <v>0</v>
      </c>
      <c r="E9" s="85">
        <f>B9+C9-D9</f>
        <v>4.9329999999999004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0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12.05</v>
      </c>
      <c r="D24" s="48">
        <v>0</v>
      </c>
      <c r="E24" s="49">
        <v>0</v>
      </c>
      <c r="F24" s="50">
        <v>0</v>
      </c>
      <c r="G24" s="48">
        <f t="shared" si="4"/>
        <v>12.05</v>
      </c>
      <c r="H24" s="51">
        <v>0</v>
      </c>
      <c r="I24" s="52">
        <f t="shared" si="3"/>
        <v>12.05</v>
      </c>
      <c r="J24" s="126">
        <v>0</v>
      </c>
      <c r="K24" s="134">
        <f>J24+0.15+0.07+0.1+0.12+0.13+0.1+0.12+0.12</f>
        <v>0.91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200.45</v>
      </c>
      <c r="D25" s="48">
        <v>0</v>
      </c>
      <c r="E25" s="49">
        <v>0</v>
      </c>
      <c r="F25" s="50">
        <v>0</v>
      </c>
      <c r="G25" s="48">
        <f t="shared" si="4"/>
        <v>200.45</v>
      </c>
      <c r="H25" s="51">
        <v>0</v>
      </c>
      <c r="I25" s="52">
        <f t="shared" si="3"/>
        <v>200.45</v>
      </c>
      <c r="J25" s="126">
        <v>0</v>
      </c>
      <c r="K25" s="134">
        <f>J25+0.08+0.09+0.06+0.02+0.08+0.05+0.03+0.08+0.04+0.08+0.02+0.02+0.06+0.03+0.03</f>
        <v>0.77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88.999999999999986</v>
      </c>
      <c r="D26" s="2">
        <v>3.4</v>
      </c>
      <c r="E26" s="18">
        <v>0</v>
      </c>
      <c r="F26" s="47">
        <v>0</v>
      </c>
      <c r="G26" s="2">
        <f t="shared" si="4"/>
        <v>92.399999999999991</v>
      </c>
      <c r="H26" s="24">
        <v>0</v>
      </c>
      <c r="I26" s="17">
        <f t="shared" si="3"/>
        <v>92.399999999999991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10.5</v>
      </c>
      <c r="D34" s="120">
        <v>0</v>
      </c>
      <c r="E34" s="121">
        <v>0</v>
      </c>
      <c r="F34" s="122">
        <v>0</v>
      </c>
      <c r="G34" s="120">
        <f t="shared" si="4"/>
        <v>10.5</v>
      </c>
      <c r="H34" s="123">
        <v>0</v>
      </c>
      <c r="I34" s="124">
        <f t="shared" si="3"/>
        <v>10.5</v>
      </c>
      <c r="J34" s="127">
        <v>0</v>
      </c>
      <c r="K34" s="134">
        <f>J34+0.2</f>
        <v>0.2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943.7</v>
      </c>
      <c r="J35" s="140">
        <f>SUM(J22:J34)</f>
        <v>0</v>
      </c>
      <c r="K35" s="141">
        <f>SUM(K20:K34)</f>
        <v>1.8800000000000001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BA49-62C8-49A1-93F9-D8FAD69FFB8A}">
  <sheetPr>
    <tabColor theme="4" tint="0.59999389629810485"/>
  </sheetPr>
  <dimension ref="A1:U57"/>
  <sheetViews>
    <sheetView topLeftCell="A16" zoomScale="98" zoomScaleNormal="98" workbookViewId="0">
      <selection activeCell="F35" sqref="F35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57</v>
      </c>
      <c r="H2" s="21">
        <v>45248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2.5174999999999983</v>
      </c>
      <c r="C8" s="28">
        <v>10.8545</v>
      </c>
      <c r="D8" s="29">
        <v>13.372</v>
      </c>
      <c r="E8" s="85">
        <f>B8+C8-D8</f>
        <v>0</v>
      </c>
      <c r="F8" s="7">
        <v>64</v>
      </c>
      <c r="G8" s="3">
        <f>F8*0.05</f>
        <v>3.2</v>
      </c>
      <c r="H8" s="97">
        <f t="shared" si="1"/>
        <v>4.17875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4.9329999999999004</v>
      </c>
      <c r="C9" s="28">
        <v>11.2355</v>
      </c>
      <c r="D9" s="29">
        <v>13</v>
      </c>
      <c r="E9" s="85">
        <f>B9+C9-D9</f>
        <v>3.1684999999999022</v>
      </c>
      <c r="F9" s="142">
        <v>60</v>
      </c>
      <c r="G9" s="3">
        <f t="shared" si="0"/>
        <v>3</v>
      </c>
      <c r="H9" s="97">
        <f t="shared" si="1"/>
        <v>4.333333333333333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5.0110000000000001</v>
      </c>
      <c r="D14" s="100">
        <v>5.0110000000000001</v>
      </c>
      <c r="E14" s="101">
        <f t="shared" si="2"/>
        <v>0</v>
      </c>
      <c r="F14" s="143">
        <v>24</v>
      </c>
      <c r="G14" s="103">
        <f t="shared" si="0"/>
        <v>1.2000000000000002</v>
      </c>
      <c r="H14" s="104">
        <f t="shared" si="1"/>
        <v>4.1758333333333324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0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12.05</v>
      </c>
      <c r="D24" s="48">
        <v>0.95</v>
      </c>
      <c r="E24" s="49">
        <v>0</v>
      </c>
      <c r="F24" s="50">
        <v>0</v>
      </c>
      <c r="G24" s="48">
        <f t="shared" si="4"/>
        <v>13</v>
      </c>
      <c r="H24" s="51">
        <v>0</v>
      </c>
      <c r="I24" s="52">
        <f t="shared" si="3"/>
        <v>13</v>
      </c>
      <c r="J24" s="126">
        <v>0.13500000000000001</v>
      </c>
      <c r="K24" s="134">
        <f>J24+0.15+0.07+0.1+0.12+0.13+0.1+0.12+0.12</f>
        <v>1.0449999999999999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200.45</v>
      </c>
      <c r="D25" s="48">
        <v>2.2999999999999998</v>
      </c>
      <c r="E25" s="49">
        <v>0</v>
      </c>
      <c r="F25" s="50">
        <v>0</v>
      </c>
      <c r="G25" s="48">
        <f t="shared" si="4"/>
        <v>202.75</v>
      </c>
      <c r="H25" s="51">
        <v>0</v>
      </c>
      <c r="I25" s="52">
        <f t="shared" si="3"/>
        <v>202.75</v>
      </c>
      <c r="J25" s="126">
        <v>0</v>
      </c>
      <c r="K25" s="134">
        <f>J25+0.08+0.09+0.06+0.02+0.08+0.05+0.03+0.08+0.04+0.08+0.02+0.02+0.06+0.03+0.03</f>
        <v>0.77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92.399999999999991</v>
      </c>
      <c r="D26" s="2">
        <v>3.2</v>
      </c>
      <c r="E26" s="18">
        <v>0</v>
      </c>
      <c r="F26" s="47">
        <v>0</v>
      </c>
      <c r="G26" s="2">
        <f t="shared" si="4"/>
        <v>95.6</v>
      </c>
      <c r="H26" s="24">
        <v>0</v>
      </c>
      <c r="I26" s="17">
        <f t="shared" si="3"/>
        <v>95.6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10.5</v>
      </c>
      <c r="D34" s="120">
        <v>0</v>
      </c>
      <c r="E34" s="121">
        <v>0</v>
      </c>
      <c r="F34" s="122">
        <v>0</v>
      </c>
      <c r="G34" s="120">
        <f t="shared" si="4"/>
        <v>10.5</v>
      </c>
      <c r="H34" s="123">
        <v>0</v>
      </c>
      <c r="I34" s="124">
        <f t="shared" si="3"/>
        <v>10.5</v>
      </c>
      <c r="J34" s="127">
        <v>0</v>
      </c>
      <c r="K34" s="134">
        <f>J34+0.2</f>
        <v>0.2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950.15</v>
      </c>
      <c r="J35" s="140">
        <f>SUM(J22:J34)</f>
        <v>0.13500000000000001</v>
      </c>
      <c r="K35" s="141">
        <f>SUM(K20:K34)</f>
        <v>2.0150000000000001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0ABD-07D6-4BEB-864E-86000F406DEB}">
  <sheetPr>
    <tabColor theme="4" tint="0.59999389629810485"/>
  </sheetPr>
  <dimension ref="A1:U57"/>
  <sheetViews>
    <sheetView topLeftCell="A3" zoomScale="98" zoomScaleNormal="98" workbookViewId="0">
      <selection activeCell="F21" sqref="F21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58</v>
      </c>
      <c r="H2" s="21">
        <v>45249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0</v>
      </c>
      <c r="D8" s="29">
        <v>0</v>
      </c>
      <c r="E8" s="85">
        <f>B8+C8-D8</f>
        <v>0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3.1684999999999999</v>
      </c>
      <c r="C9" s="28">
        <v>0</v>
      </c>
      <c r="D9" s="29">
        <v>0</v>
      </c>
      <c r="E9" s="85">
        <f>B9+C9-D9</f>
        <v>3.1684999999999999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0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13</v>
      </c>
      <c r="D24" s="48">
        <v>0</v>
      </c>
      <c r="E24" s="49">
        <v>0</v>
      </c>
      <c r="F24" s="50">
        <v>0</v>
      </c>
      <c r="G24" s="48">
        <f t="shared" si="4"/>
        <v>13</v>
      </c>
      <c r="H24" s="51">
        <v>0</v>
      </c>
      <c r="I24" s="52">
        <f t="shared" si="3"/>
        <v>13</v>
      </c>
      <c r="J24" s="126">
        <v>0</v>
      </c>
      <c r="K24" s="134">
        <f>J24+0.15+0.07+0.1+0.12+0.13+0.1+0.12+0.12+0.135</f>
        <v>1.0449999999999999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202.75</v>
      </c>
      <c r="D25" s="48">
        <v>0</v>
      </c>
      <c r="E25" s="49">
        <v>0</v>
      </c>
      <c r="F25" s="50">
        <v>0</v>
      </c>
      <c r="G25" s="48">
        <f t="shared" si="4"/>
        <v>202.75</v>
      </c>
      <c r="H25" s="51">
        <v>0</v>
      </c>
      <c r="I25" s="52">
        <f t="shared" si="3"/>
        <v>202.75</v>
      </c>
      <c r="J25" s="126">
        <v>0</v>
      </c>
      <c r="K25" s="134">
        <f>J25+0.08+0.09+0.06+0.02+0.08+0.05+0.03+0.08+0.04+0.08+0.02+0.02+0.06+0.03+0.03</f>
        <v>0.77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95.6</v>
      </c>
      <c r="D26" s="2">
        <v>0</v>
      </c>
      <c r="E26" s="18">
        <v>0</v>
      </c>
      <c r="F26" s="47">
        <v>0</v>
      </c>
      <c r="G26" s="2">
        <f t="shared" si="4"/>
        <v>95.6</v>
      </c>
      <c r="H26" s="24">
        <v>0</v>
      </c>
      <c r="I26" s="17">
        <f t="shared" si="3"/>
        <v>95.6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10.5</v>
      </c>
      <c r="D34" s="120">
        <v>0</v>
      </c>
      <c r="E34" s="121">
        <v>0</v>
      </c>
      <c r="F34" s="122">
        <v>0</v>
      </c>
      <c r="G34" s="120">
        <f t="shared" si="4"/>
        <v>10.5</v>
      </c>
      <c r="H34" s="123">
        <v>0</v>
      </c>
      <c r="I34" s="124">
        <f t="shared" si="3"/>
        <v>10.5</v>
      </c>
      <c r="J34" s="127">
        <v>0</v>
      </c>
      <c r="K34" s="134">
        <f>J34+0.2</f>
        <v>0.2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950.15</v>
      </c>
      <c r="J35" s="140">
        <f>SUM(J22:J34)</f>
        <v>0</v>
      </c>
      <c r="K35" s="141">
        <f>SUM(K20:K34)</f>
        <v>2.0150000000000001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5FAC-0E9C-4A39-9F19-064313A3BC42}">
  <sheetPr>
    <tabColor theme="4" tint="0.59999389629810485"/>
  </sheetPr>
  <dimension ref="A1:U57"/>
  <sheetViews>
    <sheetView topLeftCell="A19" zoomScale="98" zoomScaleNormal="98" workbookViewId="0">
      <selection activeCell="F9" sqref="F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51</v>
      </c>
      <c r="H2" s="21">
        <v>45232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2.0485000000000002</v>
      </c>
      <c r="C6" s="5">
        <v>0</v>
      </c>
      <c r="D6" s="6">
        <v>2.0485000000000002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15.961499999999999</v>
      </c>
      <c r="C8" s="28">
        <v>6.1529999999999996</v>
      </c>
      <c r="D8" s="29">
        <v>22.1145</v>
      </c>
      <c r="E8" s="85">
        <f>B8+C8-D8</f>
        <v>0</v>
      </c>
      <c r="F8" s="7">
        <v>90</v>
      </c>
      <c r="G8" s="3">
        <f>F8*0.05</f>
        <v>4.5</v>
      </c>
      <c r="H8" s="97">
        <f t="shared" si="1"/>
        <v>4.9143333333333334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15.7454999999999</v>
      </c>
      <c r="C9" s="28">
        <v>5.0255000000000001</v>
      </c>
      <c r="D9" s="29">
        <v>16</v>
      </c>
      <c r="E9" s="85">
        <f>B9+C9-D9</f>
        <v>4.7709999999999013</v>
      </c>
      <c r="F9" s="142">
        <v>79</v>
      </c>
      <c r="G9" s="3">
        <f t="shared" si="0"/>
        <v>3.95</v>
      </c>
      <c r="H9" s="97">
        <f t="shared" si="1"/>
        <v>4.0506329113924044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1.3845000000000001</v>
      </c>
      <c r="D13" s="29">
        <v>1.3845000000000001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2.5095000000000001</v>
      </c>
      <c r="D14" s="100">
        <v>2.5095000000000001</v>
      </c>
      <c r="E14" s="101">
        <f t="shared" si="2"/>
        <v>0</v>
      </c>
      <c r="F14" s="102">
        <v>23</v>
      </c>
      <c r="G14" s="103">
        <f t="shared" si="0"/>
        <v>1.1500000000000001</v>
      </c>
      <c r="H14" s="104">
        <f t="shared" si="1"/>
        <v>2.1821739130434779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26"/>
      <c r="H15" s="27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26"/>
      <c r="H16" s="27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15.75</v>
      </c>
      <c r="D20" s="2">
        <v>0</v>
      </c>
      <c r="E20" s="18">
        <v>0</v>
      </c>
      <c r="F20" s="47">
        <v>0</v>
      </c>
      <c r="G20" s="2">
        <f>C20+D20-E20+F20</f>
        <v>15.75</v>
      </c>
      <c r="H20" s="24">
        <v>0</v>
      </c>
      <c r="I20" s="17">
        <f t="shared" ref="I20:I34" si="3">G20-H20</f>
        <v>15.75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7.9</v>
      </c>
      <c r="D24" s="48">
        <v>1.1499999999999999</v>
      </c>
      <c r="E24" s="49">
        <v>0</v>
      </c>
      <c r="F24" s="50">
        <v>0</v>
      </c>
      <c r="G24" s="48">
        <f t="shared" si="4"/>
        <v>9.0500000000000007</v>
      </c>
      <c r="H24" s="51">
        <v>0</v>
      </c>
      <c r="I24" s="52">
        <f t="shared" si="3"/>
        <v>9.0500000000000007</v>
      </c>
      <c r="J24" s="126">
        <v>0.12</v>
      </c>
      <c r="K24" s="134">
        <f>J24+0.15+0.07+0.1</f>
        <v>0.44000000000000006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134.75</v>
      </c>
      <c r="D25" s="48">
        <v>3.45</v>
      </c>
      <c r="E25" s="49">
        <v>0</v>
      </c>
      <c r="F25" s="50">
        <v>0</v>
      </c>
      <c r="G25" s="48">
        <f t="shared" si="4"/>
        <v>138.19999999999999</v>
      </c>
      <c r="H25" s="51">
        <v>0</v>
      </c>
      <c r="I25" s="52">
        <f t="shared" si="3"/>
        <v>138.19999999999999</v>
      </c>
      <c r="J25" s="126">
        <v>0.05</v>
      </c>
      <c r="K25" s="134">
        <f>J25+0.08+0.09+0.06+0.02+0.08</f>
        <v>0.38000000000000006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117.25</v>
      </c>
      <c r="D26" s="2">
        <v>4.5</v>
      </c>
      <c r="E26" s="18">
        <v>0</v>
      </c>
      <c r="F26" s="47">
        <v>0</v>
      </c>
      <c r="G26" s="2">
        <f t="shared" si="4"/>
        <v>121.75</v>
      </c>
      <c r="H26" s="24">
        <v>0</v>
      </c>
      <c r="I26" s="17">
        <f t="shared" si="3"/>
        <v>121.75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874</v>
      </c>
      <c r="J35" s="140">
        <f>SUM(J22:J34)</f>
        <v>0.16999999999999998</v>
      </c>
      <c r="K35" s="141">
        <f>SUM(K20:K34)</f>
        <v>0.82000000000000006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A40F-35B5-49FA-81E7-BB1890B0A89E}">
  <sheetPr>
    <tabColor theme="4" tint="0.59999389629810485"/>
  </sheetPr>
  <dimension ref="A1:U57"/>
  <sheetViews>
    <sheetView topLeftCell="A5" zoomScale="98" zoomScaleNormal="98" workbookViewId="0">
      <selection activeCell="G6" sqref="G6:G14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59</v>
      </c>
      <c r="H2" s="21">
        <v>45250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0.51049999999999995</v>
      </c>
      <c r="D6" s="6">
        <v>0</v>
      </c>
      <c r="E6" s="85">
        <f>B6+C6-D6</f>
        <v>0.51049999999999995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4.4474999999999998</v>
      </c>
      <c r="D8" s="29">
        <v>4.4474999999999998</v>
      </c>
      <c r="E8" s="85">
        <f>B8+C8-D8</f>
        <v>0</v>
      </c>
      <c r="F8" s="7">
        <v>13</v>
      </c>
      <c r="G8" s="3">
        <f>F8*0.05</f>
        <v>0.65</v>
      </c>
      <c r="H8" s="97">
        <f t="shared" si="1"/>
        <v>6.842307692307692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3.1684999999999999</v>
      </c>
      <c r="C9" s="28">
        <v>9.0269999999999992</v>
      </c>
      <c r="D9" s="29">
        <v>10</v>
      </c>
      <c r="E9" s="85">
        <f>B9+C9-D9</f>
        <v>2.1954999999999991</v>
      </c>
      <c r="F9" s="142">
        <v>48</v>
      </c>
      <c r="G9" s="3">
        <f t="shared" si="0"/>
        <v>2.4000000000000004</v>
      </c>
      <c r="H9" s="97">
        <f t="shared" si="1"/>
        <v>4.1666666666666661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1.4990000000000001</v>
      </c>
      <c r="D12" s="29">
        <v>1.4990000000000001</v>
      </c>
      <c r="E12" s="85">
        <f>B12+C12-D12</f>
        <v>0</v>
      </c>
      <c r="F12" s="7">
        <v>7</v>
      </c>
      <c r="G12" s="3">
        <f t="shared" si="0"/>
        <v>0.35000000000000003</v>
      </c>
      <c r="H12" s="97">
        <f t="shared" si="1"/>
        <v>4.2828571428571429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5.0114999999999998</v>
      </c>
      <c r="D14" s="100">
        <v>5.0114999999999998</v>
      </c>
      <c r="E14" s="101">
        <f t="shared" si="2"/>
        <v>0</v>
      </c>
      <c r="F14" s="143">
        <v>24</v>
      </c>
      <c r="G14" s="103">
        <f t="shared" si="0"/>
        <v>1.2000000000000002</v>
      </c>
      <c r="H14" s="104">
        <f t="shared" si="1"/>
        <v>4.1762499999999996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0</v>
      </c>
      <c r="E20" s="18">
        <v>0</v>
      </c>
      <c r="F20" s="47">
        <v>0</v>
      </c>
      <c r="G20" s="2">
        <f>C20+D20-E20+F20</f>
        <v>16.8</v>
      </c>
      <c r="H20" s="24">
        <v>0</v>
      </c>
      <c r="I20" s="17">
        <f t="shared" ref="I20:I34" si="3">G20-H20</f>
        <v>16.8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13</v>
      </c>
      <c r="D24" s="48">
        <v>0.85</v>
      </c>
      <c r="E24" s="49">
        <v>0</v>
      </c>
      <c r="F24" s="50">
        <v>0</v>
      </c>
      <c r="G24" s="48">
        <f t="shared" si="4"/>
        <v>13.85</v>
      </c>
      <c r="H24" s="51">
        <v>0</v>
      </c>
      <c r="I24" s="52">
        <f t="shared" si="3"/>
        <v>13.85</v>
      </c>
      <c r="J24" s="126">
        <v>0.13</v>
      </c>
      <c r="K24" s="134">
        <f>J24+0.15+0.07+0.1+0.12+0.13+0.1+0.12+0.12+0.135</f>
        <v>1.175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202.75</v>
      </c>
      <c r="D25" s="48">
        <v>1.95</v>
      </c>
      <c r="E25" s="49">
        <v>0</v>
      </c>
      <c r="F25" s="50">
        <v>0</v>
      </c>
      <c r="G25" s="48">
        <f t="shared" si="4"/>
        <v>204.7</v>
      </c>
      <c r="H25" s="51">
        <v>0</v>
      </c>
      <c r="I25" s="52">
        <f t="shared" si="3"/>
        <v>204.7</v>
      </c>
      <c r="J25" s="126">
        <v>0.02</v>
      </c>
      <c r="K25" s="134">
        <f>J25+0.08+0.09+0.06+0.02+0.08+0.05+0.03+0.08+0.04+0.08+0.02+0.02+0.06+0.03+0.03</f>
        <v>0.79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95.6</v>
      </c>
      <c r="D26" s="2">
        <v>0.65</v>
      </c>
      <c r="E26" s="18">
        <v>0</v>
      </c>
      <c r="F26" s="47">
        <v>0</v>
      </c>
      <c r="G26" s="2">
        <f t="shared" si="4"/>
        <v>96.25</v>
      </c>
      <c r="H26" s="24">
        <v>0</v>
      </c>
      <c r="I26" s="17">
        <f t="shared" si="3"/>
        <v>96.25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10.5</v>
      </c>
      <c r="D34" s="120">
        <v>0.35</v>
      </c>
      <c r="E34" s="121">
        <v>0</v>
      </c>
      <c r="F34" s="122">
        <v>0</v>
      </c>
      <c r="G34" s="120">
        <f t="shared" si="4"/>
        <v>10.85</v>
      </c>
      <c r="H34" s="123">
        <v>0</v>
      </c>
      <c r="I34" s="124">
        <f t="shared" si="3"/>
        <v>10.85</v>
      </c>
      <c r="J34" s="127">
        <v>0.08</v>
      </c>
      <c r="K34" s="134">
        <f>J34+0.2</f>
        <v>0.28000000000000003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953.95</v>
      </c>
      <c r="J35" s="140">
        <f>SUM(J22:J34)</f>
        <v>0.22999999999999998</v>
      </c>
      <c r="K35" s="141">
        <f>SUM(K20:K34)</f>
        <v>2.2450000000000001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506C-1201-42AD-9D04-5D106894B6D1}">
  <sheetPr>
    <tabColor theme="4" tint="0.59999389629810485"/>
  </sheetPr>
  <dimension ref="A1:U50"/>
  <sheetViews>
    <sheetView topLeftCell="A4" zoomScale="98" zoomScaleNormal="98" workbookViewId="0">
      <selection activeCell="G6" sqref="G6:G14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61</v>
      </c>
      <c r="H2" s="21">
        <v>45251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0.51049999999999995</v>
      </c>
      <c r="C6" s="5">
        <v>19.835000000000001</v>
      </c>
      <c r="D6" s="6">
        <v>20.345500000000001</v>
      </c>
      <c r="E6" s="85">
        <f>B6+C6-D6</f>
        <v>0</v>
      </c>
      <c r="F6" s="7">
        <v>43</v>
      </c>
      <c r="G6" s="3">
        <f t="shared" ref="G6:G14" si="0">F6*0.05</f>
        <v>2.15</v>
      </c>
      <c r="H6" s="97">
        <f t="shared" ref="H6:H14" si="1">D6/G6</f>
        <v>9.4630232558139546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3.7559999999999998</v>
      </c>
      <c r="D8" s="29">
        <v>0</v>
      </c>
      <c r="E8" s="85">
        <f>B8+C8-D8</f>
        <v>3.7559999999999998</v>
      </c>
      <c r="F8" s="7">
        <v>2</v>
      </c>
      <c r="G8" s="3">
        <f>F8*0.05</f>
        <v>0.1</v>
      </c>
      <c r="H8" s="97">
        <f t="shared" si="1"/>
        <v>0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2.1954999999999991</v>
      </c>
      <c r="C9" s="28">
        <v>4.9874999999999998</v>
      </c>
      <c r="D9" s="29">
        <v>0</v>
      </c>
      <c r="E9" s="85">
        <f>B9+C9-D9</f>
        <v>7.1829999999999989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3.5329999999999999</v>
      </c>
      <c r="D14" s="100">
        <v>3.5329999999999999</v>
      </c>
      <c r="E14" s="101">
        <f t="shared" si="2"/>
        <v>0</v>
      </c>
      <c r="F14" s="143">
        <v>16</v>
      </c>
      <c r="G14" s="103">
        <f t="shared" si="0"/>
        <v>0.8</v>
      </c>
      <c r="H14" s="104">
        <f t="shared" si="1"/>
        <v>4.4162499999999998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16.8</v>
      </c>
      <c r="D20" s="2">
        <v>2.15</v>
      </c>
      <c r="E20" s="18">
        <v>0</v>
      </c>
      <c r="F20" s="47">
        <v>0</v>
      </c>
      <c r="G20" s="2">
        <f>C20+D20-E20+F20</f>
        <v>18.95</v>
      </c>
      <c r="H20" s="24">
        <v>0</v>
      </c>
      <c r="I20" s="17">
        <f t="shared" ref="I20:I34" si="3">G20-H20</f>
        <v>18.95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13.85</v>
      </c>
      <c r="D24" s="48">
        <v>0.5</v>
      </c>
      <c r="E24" s="49">
        <v>0</v>
      </c>
      <c r="F24" s="50">
        <v>0</v>
      </c>
      <c r="G24" s="48">
        <f t="shared" si="4"/>
        <v>14.35</v>
      </c>
      <c r="H24" s="51">
        <v>0</v>
      </c>
      <c r="I24" s="52">
        <f t="shared" si="3"/>
        <v>14.35</v>
      </c>
      <c r="J24" s="126">
        <v>0.12</v>
      </c>
      <c r="K24" s="134">
        <f>J24+0.15+0.07+0.1+0.12+0.13+0.1+0.12+0.12+0.135+0.13</f>
        <v>1.2949999999999999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204.7</v>
      </c>
      <c r="D25" s="48">
        <v>0</v>
      </c>
      <c r="E25" s="49">
        <v>0</v>
      </c>
      <c r="F25" s="50">
        <v>0</v>
      </c>
      <c r="G25" s="48">
        <f t="shared" si="4"/>
        <v>204.7</v>
      </c>
      <c r="H25" s="51">
        <v>0</v>
      </c>
      <c r="I25" s="52">
        <f t="shared" si="3"/>
        <v>204.7</v>
      </c>
      <c r="J25" s="126">
        <v>0.02</v>
      </c>
      <c r="K25" s="134">
        <f>J25+0.08+0.09+0.06+0.02+0.08+0.05+0.03+0.08+0.04+0.08+0.02+0.02+0.06+0.03+0.03+0.02</f>
        <v>0.81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96.25</v>
      </c>
      <c r="D26" s="2">
        <v>0.1</v>
      </c>
      <c r="E26" s="18">
        <v>0</v>
      </c>
      <c r="F26" s="47">
        <v>0</v>
      </c>
      <c r="G26" s="2">
        <f t="shared" si="4"/>
        <v>96.35</v>
      </c>
      <c r="H26" s="24">
        <v>0</v>
      </c>
      <c r="I26" s="17">
        <f t="shared" si="3"/>
        <v>96.35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10.85</v>
      </c>
      <c r="D34" s="120">
        <v>0</v>
      </c>
      <c r="E34" s="121">
        <v>0</v>
      </c>
      <c r="F34" s="122">
        <v>0</v>
      </c>
      <c r="G34" s="120">
        <f t="shared" si="4"/>
        <v>10.85</v>
      </c>
      <c r="H34" s="123">
        <v>0</v>
      </c>
      <c r="I34" s="124">
        <f t="shared" si="3"/>
        <v>10.85</v>
      </c>
      <c r="J34" s="127">
        <v>0</v>
      </c>
      <c r="K34" s="134">
        <f>J34+0.2+0.08</f>
        <v>0.28000000000000003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956.7</v>
      </c>
      <c r="J35" s="140">
        <f>SUM(J22:J34)</f>
        <v>0.13999999999999999</v>
      </c>
      <c r="K35" s="141">
        <f>SUM(K20:K34)</f>
        <v>2.3849999999999998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68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 t="s">
        <v>69</v>
      </c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7A3C-1537-46AF-A4A7-33CC65DB94C1}">
  <sheetPr>
    <tabColor theme="4" tint="0.59999389629810485"/>
  </sheetPr>
  <dimension ref="A1:U50"/>
  <sheetViews>
    <sheetView zoomScale="98" zoomScaleNormal="98" workbookViewId="0">
      <selection activeCell="G6" sqref="G6:G14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50</v>
      </c>
      <c r="H2" s="21">
        <v>45252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5.3304999999999998</v>
      </c>
      <c r="D6" s="6">
        <v>5.3304999999999998</v>
      </c>
      <c r="E6" s="85">
        <f>B6+C6-D6</f>
        <v>0</v>
      </c>
      <c r="F6" s="7">
        <v>19</v>
      </c>
      <c r="G6" s="3">
        <f t="shared" ref="G6:G14" si="0">F6*0.05</f>
        <v>0.95000000000000007</v>
      </c>
      <c r="H6" s="97">
        <f t="shared" ref="H6:H14" si="1">D6/G6</f>
        <v>5.6110526315789464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3.7559999999999998</v>
      </c>
      <c r="C8" s="28">
        <v>14.922499999999999</v>
      </c>
      <c r="D8" s="29">
        <v>18.6785</v>
      </c>
      <c r="E8" s="85">
        <f>B8+C8-D8</f>
        <v>0</v>
      </c>
      <c r="F8" s="7">
        <v>71</v>
      </c>
      <c r="G8" s="3">
        <f>F8*0.05</f>
        <v>3.5500000000000003</v>
      </c>
      <c r="H8" s="97">
        <f t="shared" si="1"/>
        <v>5.261549295774647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7.1829999999999989</v>
      </c>
      <c r="C9" s="28">
        <v>2.9390000000000001</v>
      </c>
      <c r="D9" s="29">
        <v>9</v>
      </c>
      <c r="E9" s="85">
        <f>B9+C9-D9</f>
        <v>1.1219999999999999</v>
      </c>
      <c r="F9" s="142">
        <v>45</v>
      </c>
      <c r="G9" s="3">
        <f t="shared" si="0"/>
        <v>2.25</v>
      </c>
      <c r="H9" s="97">
        <f t="shared" si="1"/>
        <v>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1</v>
      </c>
      <c r="G14" s="103">
        <f t="shared" si="0"/>
        <v>0.05</v>
      </c>
      <c r="H14" s="104">
        <f t="shared" si="1"/>
        <v>0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18.95</v>
      </c>
      <c r="D20" s="2">
        <v>0.95</v>
      </c>
      <c r="E20" s="18">
        <v>0</v>
      </c>
      <c r="F20" s="47">
        <v>0</v>
      </c>
      <c r="G20" s="2">
        <f>C20+D20-E20+F20</f>
        <v>19.899999999999999</v>
      </c>
      <c r="H20" s="24">
        <v>0</v>
      </c>
      <c r="I20" s="17">
        <f t="shared" ref="I20:I34" si="3">G20-H20</f>
        <v>19.899999999999999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14.35</v>
      </c>
      <c r="D24" s="48">
        <v>0.05</v>
      </c>
      <c r="E24" s="49">
        <v>0</v>
      </c>
      <c r="F24" s="50">
        <v>0</v>
      </c>
      <c r="G24" s="48">
        <f t="shared" si="4"/>
        <v>14.4</v>
      </c>
      <c r="H24" s="51">
        <v>0</v>
      </c>
      <c r="I24" s="52">
        <f t="shared" si="3"/>
        <v>14.4</v>
      </c>
      <c r="J24" s="126">
        <v>0</v>
      </c>
      <c r="K24" s="134">
        <f>J24+0.15+0.07+0.1+0.12+0.13+0.1+0.12+0.12+0.135+0.13+0.12</f>
        <v>1.2949999999999999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204.7</v>
      </c>
      <c r="D25" s="48">
        <v>1.45</v>
      </c>
      <c r="E25" s="49">
        <v>0</v>
      </c>
      <c r="F25" s="50">
        <v>0</v>
      </c>
      <c r="G25" s="48">
        <f t="shared" si="4"/>
        <v>206.14999999999998</v>
      </c>
      <c r="H25" s="51">
        <v>0</v>
      </c>
      <c r="I25" s="52">
        <f t="shared" si="3"/>
        <v>206.14999999999998</v>
      </c>
      <c r="J25" s="126">
        <v>0.02</v>
      </c>
      <c r="K25" s="134">
        <f>J25+0.08+0.09+0.06+0.02+0.08+0.05+0.03+0.08+0.04+0.08+0.02+0.02+0.06+0.03+0.03+0.02+0.02</f>
        <v>0.83000000000000007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96.35</v>
      </c>
      <c r="D26" s="2">
        <v>3.55</v>
      </c>
      <c r="E26" s="18">
        <v>0</v>
      </c>
      <c r="F26" s="47">
        <v>0</v>
      </c>
      <c r="G26" s="2">
        <f t="shared" si="4"/>
        <v>99.899999999999991</v>
      </c>
      <c r="H26" s="24">
        <v>0</v>
      </c>
      <c r="I26" s="17">
        <f t="shared" si="3"/>
        <v>99.899999999999991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10.85</v>
      </c>
      <c r="D34" s="120">
        <v>0</v>
      </c>
      <c r="E34" s="121">
        <v>0</v>
      </c>
      <c r="F34" s="122">
        <v>0</v>
      </c>
      <c r="G34" s="120">
        <f t="shared" si="4"/>
        <v>10.85</v>
      </c>
      <c r="H34" s="123">
        <v>0</v>
      </c>
      <c r="I34" s="124">
        <f t="shared" si="3"/>
        <v>10.85</v>
      </c>
      <c r="J34" s="127">
        <v>0</v>
      </c>
      <c r="K34" s="134">
        <f>J34+0.2+0.08</f>
        <v>0.28000000000000003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962.69999999999993</v>
      </c>
      <c r="J35" s="140">
        <f>SUM(J22:J34)</f>
        <v>0.02</v>
      </c>
      <c r="K35" s="141">
        <f>SUM(K20:K34)</f>
        <v>2.4050000000000002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CC82-46C8-4CBC-B282-F8612CEDE7F5}">
  <sheetPr>
    <tabColor theme="4" tint="0.59999389629810485"/>
  </sheetPr>
  <dimension ref="A1:U50"/>
  <sheetViews>
    <sheetView topLeftCell="A17" zoomScale="98" zoomScaleNormal="98" workbookViewId="0">
      <selection activeCell="G36" sqref="G36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51</v>
      </c>
      <c r="H2" s="21">
        <v>45253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6.2584999999999997</v>
      </c>
      <c r="D6" s="6">
        <v>6.2584999999999997</v>
      </c>
      <c r="E6" s="85">
        <f>B6+C6-D6</f>
        <v>0</v>
      </c>
      <c r="F6" s="7">
        <v>10</v>
      </c>
      <c r="G6" s="3">
        <f t="shared" ref="G6:G14" si="0">F6*0.05</f>
        <v>0.5</v>
      </c>
      <c r="H6" s="97">
        <f t="shared" ref="H6:H14" si="1">D6/G6</f>
        <v>12.516999999999999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4.3410000000000002</v>
      </c>
      <c r="D8" s="29">
        <v>4.3410000000000002</v>
      </c>
      <c r="E8" s="85">
        <f>B8+C8-D8</f>
        <v>0</v>
      </c>
      <c r="F8" s="7">
        <v>16</v>
      </c>
      <c r="G8" s="3">
        <f>F8*0.05</f>
        <v>0.8</v>
      </c>
      <c r="H8" s="97">
        <f t="shared" si="1"/>
        <v>5.4262499999999996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1.1219999999999999</v>
      </c>
      <c r="C9" s="28">
        <v>0</v>
      </c>
      <c r="D9" s="29">
        <v>0</v>
      </c>
      <c r="E9" s="85">
        <f>B9+C9-D9</f>
        <v>1.1219999999999999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19.899999999999999</v>
      </c>
      <c r="D20" s="2">
        <v>0.5</v>
      </c>
      <c r="E20" s="18">
        <v>0</v>
      </c>
      <c r="F20" s="47">
        <v>0</v>
      </c>
      <c r="G20" s="2">
        <f>C20+D20-E20+F20</f>
        <v>20.399999999999999</v>
      </c>
      <c r="H20" s="24">
        <v>0</v>
      </c>
      <c r="I20" s="17">
        <f t="shared" ref="I20:I34" si="3">G20-H20</f>
        <v>20.399999999999999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14.4</v>
      </c>
      <c r="D24" s="48">
        <v>0</v>
      </c>
      <c r="E24" s="49">
        <v>0</v>
      </c>
      <c r="F24" s="50">
        <v>0</v>
      </c>
      <c r="G24" s="48">
        <f t="shared" si="4"/>
        <v>14.4</v>
      </c>
      <c r="H24" s="51">
        <v>0</v>
      </c>
      <c r="I24" s="52">
        <f t="shared" si="3"/>
        <v>14.4</v>
      </c>
      <c r="J24" s="126">
        <v>0</v>
      </c>
      <c r="K24" s="134">
        <f>J24+0.15+0.07+0.1+0.12+0.13+0.1+0.12+0.12+0.135+0.13+0.12</f>
        <v>1.2949999999999999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206.14999999999998</v>
      </c>
      <c r="D25" s="48">
        <v>0</v>
      </c>
      <c r="E25" s="49">
        <v>0</v>
      </c>
      <c r="F25" s="50">
        <v>0</v>
      </c>
      <c r="G25" s="48">
        <f t="shared" si="4"/>
        <v>206.14999999999998</v>
      </c>
      <c r="H25" s="51">
        <v>0</v>
      </c>
      <c r="I25" s="52">
        <f t="shared" si="3"/>
        <v>206.14999999999998</v>
      </c>
      <c r="J25" s="126">
        <v>0</v>
      </c>
      <c r="K25" s="134">
        <f>J25+0.08+0.09+0.06+0.02+0.08+0.05+0.03+0.08+0.04+0.08+0.02+0.02+0.06+0.03+0.03+0.02+0.02+0.02</f>
        <v>0.83000000000000007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99.899999999999991</v>
      </c>
      <c r="D26" s="2">
        <v>0.8</v>
      </c>
      <c r="E26" s="18">
        <v>0</v>
      </c>
      <c r="F26" s="47">
        <v>0</v>
      </c>
      <c r="G26" s="2">
        <f t="shared" si="4"/>
        <v>100.69999999999999</v>
      </c>
      <c r="H26" s="24">
        <v>0</v>
      </c>
      <c r="I26" s="17">
        <f t="shared" si="3"/>
        <v>100.69999999999999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10.85</v>
      </c>
      <c r="D34" s="120">
        <v>0</v>
      </c>
      <c r="E34" s="121">
        <v>0</v>
      </c>
      <c r="F34" s="122">
        <v>0</v>
      </c>
      <c r="G34" s="120">
        <f t="shared" si="4"/>
        <v>10.85</v>
      </c>
      <c r="H34" s="123">
        <v>0</v>
      </c>
      <c r="I34" s="124">
        <f t="shared" si="3"/>
        <v>10.85</v>
      </c>
      <c r="J34" s="127">
        <v>0</v>
      </c>
      <c r="K34" s="134">
        <f>J34+0.2+0.08</f>
        <v>0.28000000000000003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964</v>
      </c>
      <c r="J35" s="140">
        <f>SUM(J22:J34)</f>
        <v>0</v>
      </c>
      <c r="K35" s="141">
        <f>SUM(K20:K34)</f>
        <v>2.4050000000000002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C375-D484-403E-9EA4-91AB34290C89}">
  <sheetPr>
    <tabColor theme="4" tint="0.59999389629810485"/>
  </sheetPr>
  <dimension ref="A1:U50"/>
  <sheetViews>
    <sheetView zoomScale="98" zoomScaleNormal="98" workbookViewId="0">
      <selection activeCell="F1" sqref="F1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52</v>
      </c>
      <c r="H2" s="21">
        <v>45254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0</v>
      </c>
      <c r="D8" s="29">
        <v>0</v>
      </c>
      <c r="E8" s="85">
        <f>B8+C8-D8</f>
        <v>0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1.1219999999999999</v>
      </c>
      <c r="C9" s="28">
        <v>0</v>
      </c>
      <c r="D9" s="29">
        <v>0</v>
      </c>
      <c r="E9" s="85">
        <f>B9+C9-D9</f>
        <v>1.1219999999999999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20.399999999999999</v>
      </c>
      <c r="D20" s="2">
        <v>0</v>
      </c>
      <c r="E20" s="18">
        <v>0</v>
      </c>
      <c r="F20" s="47">
        <v>0</v>
      </c>
      <c r="G20" s="2">
        <f>C20+D20-E20+F20</f>
        <v>20.399999999999999</v>
      </c>
      <c r="H20" s="24">
        <v>0</v>
      </c>
      <c r="I20" s="17">
        <f t="shared" ref="I20:I34" si="3">G20-H20</f>
        <v>20.399999999999999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14.4</v>
      </c>
      <c r="D24" s="48">
        <v>0</v>
      </c>
      <c r="E24" s="49">
        <v>0</v>
      </c>
      <c r="F24" s="50">
        <v>0</v>
      </c>
      <c r="G24" s="48">
        <f t="shared" si="4"/>
        <v>14.4</v>
      </c>
      <c r="H24" s="51">
        <v>0</v>
      </c>
      <c r="I24" s="52">
        <f t="shared" si="3"/>
        <v>14.4</v>
      </c>
      <c r="J24" s="126">
        <v>0</v>
      </c>
      <c r="K24" s="134">
        <f>J24+0.15+0.07+0.1+0.12+0.13+0.1+0.12+0.12+0.135+0.13+0.12</f>
        <v>1.2949999999999999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206.14999999999998</v>
      </c>
      <c r="D25" s="48">
        <v>0</v>
      </c>
      <c r="E25" s="49">
        <v>0</v>
      </c>
      <c r="F25" s="50">
        <v>0</v>
      </c>
      <c r="G25" s="48">
        <f t="shared" si="4"/>
        <v>206.14999999999998</v>
      </c>
      <c r="H25" s="51">
        <v>0</v>
      </c>
      <c r="I25" s="52">
        <f t="shared" si="3"/>
        <v>206.14999999999998</v>
      </c>
      <c r="J25" s="126">
        <v>0</v>
      </c>
      <c r="K25" s="134">
        <f>J25+0.08+0.09+0.06+0.02+0.08+0.05+0.03+0.08+0.04+0.08+0.02+0.02+0.06+0.03+0.03+0.02+0.02+0.02</f>
        <v>0.83000000000000007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100.69999999999999</v>
      </c>
      <c r="D26" s="2">
        <v>0</v>
      </c>
      <c r="E26" s="18">
        <v>0</v>
      </c>
      <c r="F26" s="47">
        <v>0</v>
      </c>
      <c r="G26" s="2">
        <f t="shared" si="4"/>
        <v>100.69999999999999</v>
      </c>
      <c r="H26" s="24">
        <v>0</v>
      </c>
      <c r="I26" s="17">
        <f t="shared" si="3"/>
        <v>100.69999999999999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52.5</v>
      </c>
      <c r="F28" s="47">
        <v>0</v>
      </c>
      <c r="G28" s="2">
        <f t="shared" si="4"/>
        <v>262.5</v>
      </c>
      <c r="H28" s="24">
        <v>0</v>
      </c>
      <c r="I28" s="17">
        <f t="shared" si="3"/>
        <v>262.5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10.85</v>
      </c>
      <c r="D34" s="120">
        <v>0</v>
      </c>
      <c r="E34" s="121">
        <v>0</v>
      </c>
      <c r="F34" s="122">
        <v>0</v>
      </c>
      <c r="G34" s="120">
        <f t="shared" si="4"/>
        <v>10.85</v>
      </c>
      <c r="H34" s="123">
        <v>0</v>
      </c>
      <c r="I34" s="124">
        <f t="shared" si="3"/>
        <v>10.85</v>
      </c>
      <c r="J34" s="127">
        <v>0</v>
      </c>
      <c r="K34" s="134">
        <f>J34+0.2+0.08</f>
        <v>0.28000000000000003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911.5</v>
      </c>
      <c r="J35" s="140">
        <f>SUM(J22:J34)</f>
        <v>0</v>
      </c>
      <c r="K35" s="141">
        <f>SUM(K20:K34)</f>
        <v>2.4050000000000002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 t="s">
        <v>70</v>
      </c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71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 t="s">
        <v>72</v>
      </c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C856-7EEF-4D3E-80E9-501516B05696}">
  <sheetPr>
    <tabColor theme="4" tint="0.59999389629810485"/>
  </sheetPr>
  <dimension ref="A1:U50"/>
  <sheetViews>
    <sheetView zoomScale="98" zoomScaleNormal="98" workbookViewId="0">
      <selection activeCell="G1" sqref="G1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57</v>
      </c>
      <c r="H2" s="21">
        <v>45255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0</v>
      </c>
      <c r="D8" s="29">
        <v>0</v>
      </c>
      <c r="E8" s="85">
        <f>B8+C8-D8</f>
        <v>0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1.1219999999999999</v>
      </c>
      <c r="C9" s="28">
        <v>0</v>
      </c>
      <c r="D9" s="29">
        <v>0</v>
      </c>
      <c r="E9" s="85">
        <f>B9+C9-D9</f>
        <v>1.1219999999999999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20.399999999999999</v>
      </c>
      <c r="D20" s="2">
        <v>0</v>
      </c>
      <c r="E20" s="18">
        <v>0</v>
      </c>
      <c r="F20" s="47">
        <v>0</v>
      </c>
      <c r="G20" s="2">
        <f>C20+D20-E20+F20</f>
        <v>20.399999999999999</v>
      </c>
      <c r="H20" s="24">
        <v>0</v>
      </c>
      <c r="I20" s="17">
        <f t="shared" ref="I20:I34" si="3">G20-H20</f>
        <v>20.399999999999999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14.4</v>
      </c>
      <c r="D24" s="48">
        <v>0</v>
      </c>
      <c r="E24" s="49">
        <v>0</v>
      </c>
      <c r="F24" s="50">
        <v>0</v>
      </c>
      <c r="G24" s="48">
        <f t="shared" si="4"/>
        <v>14.4</v>
      </c>
      <c r="H24" s="51">
        <v>0</v>
      </c>
      <c r="I24" s="52">
        <f t="shared" si="3"/>
        <v>14.4</v>
      </c>
      <c r="J24" s="126">
        <v>0</v>
      </c>
      <c r="K24" s="134">
        <f>J24+0.15+0.07+0.1+0.12+0.13+0.1+0.12+0.12+0.135+0.13+0.12</f>
        <v>1.2949999999999999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206.14999999999998</v>
      </c>
      <c r="D25" s="48">
        <v>0</v>
      </c>
      <c r="E25" s="49">
        <v>0</v>
      </c>
      <c r="F25" s="50">
        <v>0</v>
      </c>
      <c r="G25" s="48">
        <f t="shared" si="4"/>
        <v>206.14999999999998</v>
      </c>
      <c r="H25" s="51">
        <v>0</v>
      </c>
      <c r="I25" s="52">
        <f t="shared" si="3"/>
        <v>206.14999999999998</v>
      </c>
      <c r="J25" s="126">
        <v>0</v>
      </c>
      <c r="K25" s="134">
        <f>J25+0.08+0.09+0.06+0.02+0.08+0.05+0.03+0.08+0.04+0.08+0.02+0.02+0.06+0.03+0.03+0.02+0.02+0.02</f>
        <v>0.83000000000000007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100.69999999999999</v>
      </c>
      <c r="D26" s="2">
        <v>0</v>
      </c>
      <c r="E26" s="18">
        <v>0</v>
      </c>
      <c r="F26" s="47">
        <v>0</v>
      </c>
      <c r="G26" s="2">
        <f t="shared" si="4"/>
        <v>100.69999999999999</v>
      </c>
      <c r="H26" s="24">
        <v>0</v>
      </c>
      <c r="I26" s="17">
        <f t="shared" si="3"/>
        <v>100.69999999999999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262.5</v>
      </c>
      <c r="D28" s="2">
        <v>0</v>
      </c>
      <c r="E28" s="18">
        <v>52.5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10.85</v>
      </c>
      <c r="D34" s="120">
        <v>0</v>
      </c>
      <c r="E34" s="121">
        <v>0</v>
      </c>
      <c r="F34" s="122">
        <v>0</v>
      </c>
      <c r="G34" s="120">
        <f t="shared" si="4"/>
        <v>10.85</v>
      </c>
      <c r="H34" s="123">
        <v>0</v>
      </c>
      <c r="I34" s="124">
        <f t="shared" si="3"/>
        <v>10.85</v>
      </c>
      <c r="J34" s="127">
        <v>0</v>
      </c>
      <c r="K34" s="134">
        <f>J34+0.2+0.08</f>
        <v>0.28000000000000003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859</v>
      </c>
      <c r="J35" s="140">
        <f>SUM(J22:J34)</f>
        <v>0</v>
      </c>
      <c r="K35" s="141">
        <f>SUM(K20:K34)</f>
        <v>2.4050000000000002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 t="s">
        <v>73</v>
      </c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71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 t="s">
        <v>72</v>
      </c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F1C87-1AEE-4C7F-81B0-C19BB9BD77AB}">
  <sheetPr>
    <tabColor theme="4" tint="0.59999389629810485"/>
  </sheetPr>
  <dimension ref="A1:U50"/>
  <sheetViews>
    <sheetView zoomScale="98" zoomScaleNormal="98" workbookViewId="0">
      <selection activeCell="B1" sqref="B1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58</v>
      </c>
      <c r="H2" s="21">
        <v>45256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0</v>
      </c>
      <c r="D8" s="29">
        <v>0</v>
      </c>
      <c r="E8" s="85">
        <f>B8+C8-D8</f>
        <v>0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1.1219999999999999</v>
      </c>
      <c r="C9" s="28">
        <v>0</v>
      </c>
      <c r="D9" s="29">
        <v>0</v>
      </c>
      <c r="E9" s="85">
        <f>B9+C9-D9</f>
        <v>1.1219999999999999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20.399999999999999</v>
      </c>
      <c r="D20" s="2">
        <v>0</v>
      </c>
      <c r="E20" s="18">
        <v>0</v>
      </c>
      <c r="F20" s="47">
        <v>0</v>
      </c>
      <c r="G20" s="2">
        <f>C20+D20-E20+F20</f>
        <v>20.399999999999999</v>
      </c>
      <c r="H20" s="24">
        <v>0</v>
      </c>
      <c r="I20" s="17">
        <f t="shared" ref="I20:I34" si="3">G20-H20</f>
        <v>20.399999999999999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14.4</v>
      </c>
      <c r="D24" s="48">
        <v>0</v>
      </c>
      <c r="E24" s="49">
        <v>0</v>
      </c>
      <c r="F24" s="50">
        <v>0</v>
      </c>
      <c r="G24" s="48">
        <f t="shared" si="4"/>
        <v>14.4</v>
      </c>
      <c r="H24" s="51">
        <v>0</v>
      </c>
      <c r="I24" s="52">
        <f t="shared" si="3"/>
        <v>14.4</v>
      </c>
      <c r="J24" s="126">
        <v>0</v>
      </c>
      <c r="K24" s="134">
        <f>J24+0.15+0.07+0.1+0.12+0.13+0.1+0.12+0.12+0.135+0.13+0.12</f>
        <v>1.2949999999999999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206.14999999999998</v>
      </c>
      <c r="D25" s="48">
        <v>0</v>
      </c>
      <c r="E25" s="49">
        <v>0</v>
      </c>
      <c r="F25" s="50">
        <v>0</v>
      </c>
      <c r="G25" s="48">
        <f t="shared" si="4"/>
        <v>206.14999999999998</v>
      </c>
      <c r="H25" s="51">
        <v>0</v>
      </c>
      <c r="I25" s="52">
        <f t="shared" si="3"/>
        <v>206.14999999999998</v>
      </c>
      <c r="J25" s="126">
        <v>0</v>
      </c>
      <c r="K25" s="134">
        <f>J25+0.08+0.09+0.06+0.02+0.08+0.05+0.03+0.08+0.04+0.08+0.02+0.02+0.06+0.03+0.03+0.02+0.02+0.02</f>
        <v>0.83000000000000007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100.69999999999999</v>
      </c>
      <c r="D26" s="2">
        <v>0</v>
      </c>
      <c r="E26" s="18">
        <v>0</v>
      </c>
      <c r="F26" s="47">
        <v>0</v>
      </c>
      <c r="G26" s="2">
        <f t="shared" si="4"/>
        <v>100.69999999999999</v>
      </c>
      <c r="H26" s="24">
        <v>0</v>
      </c>
      <c r="I26" s="17">
        <f t="shared" si="3"/>
        <v>100.69999999999999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10.85</v>
      </c>
      <c r="D34" s="120">
        <v>0</v>
      </c>
      <c r="E34" s="121">
        <v>0</v>
      </c>
      <c r="F34" s="122">
        <v>0</v>
      </c>
      <c r="G34" s="120">
        <f t="shared" si="4"/>
        <v>10.85</v>
      </c>
      <c r="H34" s="123">
        <v>0</v>
      </c>
      <c r="I34" s="124">
        <f t="shared" si="3"/>
        <v>10.85</v>
      </c>
      <c r="J34" s="127">
        <v>0</v>
      </c>
      <c r="K34" s="134">
        <f>J34+0.2+0.08</f>
        <v>0.28000000000000003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859</v>
      </c>
      <c r="J35" s="140">
        <f>SUM(J22:J34)</f>
        <v>0</v>
      </c>
      <c r="K35" s="141">
        <f>SUM(K20:K34)</f>
        <v>2.4050000000000002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71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DD14-DB3A-4087-B82D-41624B6DF902}">
  <sheetPr>
    <tabColor theme="4" tint="0.59999389629810485"/>
  </sheetPr>
  <dimension ref="A1:U50"/>
  <sheetViews>
    <sheetView topLeftCell="A18" zoomScale="98" zoomScaleNormal="98" workbookViewId="0">
      <selection activeCell="G37" sqref="G37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59</v>
      </c>
      <c r="H2" s="21">
        <v>45257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6.5925000000000002</v>
      </c>
      <c r="D6" s="6">
        <v>1.4</v>
      </c>
      <c r="E6" s="85">
        <f>B6+C6-D6</f>
        <v>5.1925000000000008</v>
      </c>
      <c r="F6" s="7">
        <v>3</v>
      </c>
      <c r="G6" s="3">
        <f t="shared" ref="G6:G14" si="0">F6*0.05</f>
        <v>0.15000000000000002</v>
      </c>
      <c r="H6" s="97">
        <f t="shared" ref="H6:H14" si="1">D6/G6</f>
        <v>9.3333333333333321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22.349499999999999</v>
      </c>
      <c r="D8" s="29">
        <v>14</v>
      </c>
      <c r="E8" s="85">
        <f>B8+C8-D8</f>
        <v>8.349499999999999</v>
      </c>
      <c r="F8" s="7">
        <v>39</v>
      </c>
      <c r="G8" s="3">
        <f>F8*0.05</f>
        <v>1.9500000000000002</v>
      </c>
      <c r="H8" s="97">
        <f t="shared" si="1"/>
        <v>7.1794871794871788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1.1219999999999999</v>
      </c>
      <c r="C9" s="28">
        <v>6.6130000000000004</v>
      </c>
      <c r="D9" s="29">
        <v>7.7350000000000003</v>
      </c>
      <c r="E9" s="85">
        <f>B9+C9-D9</f>
        <v>0</v>
      </c>
      <c r="F9" s="142">
        <v>36</v>
      </c>
      <c r="G9" s="3">
        <f t="shared" si="0"/>
        <v>1.8</v>
      </c>
      <c r="H9" s="97">
        <f t="shared" si="1"/>
        <v>4.2972222222222225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20.096499999999999</v>
      </c>
      <c r="D12" s="29">
        <v>20.096499999999999</v>
      </c>
      <c r="E12" s="85">
        <f>B12+C12-D12</f>
        <v>0</v>
      </c>
      <c r="F12" s="142">
        <v>92</v>
      </c>
      <c r="G12" s="3">
        <f t="shared" si="0"/>
        <v>4.6000000000000005</v>
      </c>
      <c r="H12" s="97">
        <f t="shared" si="1"/>
        <v>4.3688043478260861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12.1</v>
      </c>
      <c r="D14" s="100">
        <v>12.1</v>
      </c>
      <c r="E14" s="101">
        <f t="shared" si="2"/>
        <v>0</v>
      </c>
      <c r="F14" s="143">
        <v>57</v>
      </c>
      <c r="G14" s="103">
        <f t="shared" si="0"/>
        <v>2.85</v>
      </c>
      <c r="H14" s="104">
        <f t="shared" si="1"/>
        <v>4.2456140350877192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20.399999999999999</v>
      </c>
      <c r="D20" s="2">
        <v>0.15</v>
      </c>
      <c r="E20" s="18">
        <v>0</v>
      </c>
      <c r="F20" s="47">
        <v>0</v>
      </c>
      <c r="G20" s="2">
        <f>C20+D20-E20+F20</f>
        <v>20.549999999999997</v>
      </c>
      <c r="H20" s="24">
        <v>0</v>
      </c>
      <c r="I20" s="17">
        <f t="shared" ref="I20:I34" si="3">G20-H20</f>
        <v>20.549999999999997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14.4</v>
      </c>
      <c r="D24" s="48">
        <v>1.35</v>
      </c>
      <c r="E24" s="49">
        <v>0</v>
      </c>
      <c r="F24" s="50">
        <v>0</v>
      </c>
      <c r="G24" s="48">
        <f t="shared" si="4"/>
        <v>15.75</v>
      </c>
      <c r="H24" s="51">
        <v>0</v>
      </c>
      <c r="I24" s="52">
        <f t="shared" si="3"/>
        <v>15.75</v>
      </c>
      <c r="J24" s="126">
        <v>0.23499999999999999</v>
      </c>
      <c r="K24" s="134">
        <f>J24+0.15+0.07+0.1+0.12+0.13+0.1+0.12+0.12+0.135+0.13+0.12</f>
        <v>1.5300000000000002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206.14999999999998</v>
      </c>
      <c r="D25" s="48">
        <v>1.3</v>
      </c>
      <c r="E25" s="49">
        <v>0</v>
      </c>
      <c r="F25" s="50">
        <v>0</v>
      </c>
      <c r="G25" s="48">
        <f t="shared" si="4"/>
        <v>207.45</v>
      </c>
      <c r="H25" s="51">
        <v>0</v>
      </c>
      <c r="I25" s="52">
        <f t="shared" si="3"/>
        <v>207.45</v>
      </c>
      <c r="J25" s="126">
        <v>0</v>
      </c>
      <c r="K25" s="134">
        <f>J25+0.08+0.09+0.06+0.02+0.08+0.05+0.03+0.08+0.04+0.08+0.02+0.02+0.06+0.03+0.03+0.02+0.02+0.02</f>
        <v>0.83000000000000007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100.69999999999999</v>
      </c>
      <c r="D26" s="2">
        <v>1.95</v>
      </c>
      <c r="E26" s="18">
        <v>0</v>
      </c>
      <c r="F26" s="47">
        <v>0</v>
      </c>
      <c r="G26" s="2">
        <f t="shared" si="4"/>
        <v>102.64999999999999</v>
      </c>
      <c r="H26" s="24">
        <v>0</v>
      </c>
      <c r="I26" s="17">
        <f t="shared" si="3"/>
        <v>102.64999999999999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10.85</v>
      </c>
      <c r="D34" s="120">
        <v>2.6</v>
      </c>
      <c r="E34" s="121">
        <v>0</v>
      </c>
      <c r="F34" s="122">
        <v>0</v>
      </c>
      <c r="G34" s="120">
        <f t="shared" si="4"/>
        <v>13.45</v>
      </c>
      <c r="H34" s="123">
        <v>0</v>
      </c>
      <c r="I34" s="124">
        <f t="shared" si="3"/>
        <v>13.45</v>
      </c>
      <c r="J34" s="127">
        <v>0.54</v>
      </c>
      <c r="K34" s="134">
        <f>J34+0.2+0.08</f>
        <v>0.82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866.35</v>
      </c>
      <c r="J35" s="140">
        <f>SUM(J22:J34)</f>
        <v>0.77500000000000002</v>
      </c>
      <c r="K35" s="141">
        <f>SUM(K20:K34)</f>
        <v>3.18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74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AEFA5-6A25-41CB-90A7-BA659023601F}">
  <sheetPr>
    <tabColor theme="4" tint="0.59999389629810485"/>
  </sheetPr>
  <dimension ref="A1:U50"/>
  <sheetViews>
    <sheetView topLeftCell="B5" zoomScale="98" zoomScaleNormal="98" workbookViewId="0">
      <selection activeCell="G6" sqref="G6:G15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61</v>
      </c>
      <c r="H2" s="21">
        <v>45258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5.1925000000000008</v>
      </c>
      <c r="C6" s="5">
        <v>3.7915000000000001</v>
      </c>
      <c r="D6" s="6">
        <v>8.984</v>
      </c>
      <c r="E6" s="85">
        <f>B6+C6-D6</f>
        <v>0</v>
      </c>
      <c r="F6" s="7">
        <v>21</v>
      </c>
      <c r="G6" s="3">
        <f t="shared" ref="G6:G14" si="0">F6*0.05</f>
        <v>1.05</v>
      </c>
      <c r="H6" s="97">
        <f t="shared" ref="H6:H14" si="1">D6/G6</f>
        <v>8.5561904761904763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8.349499999999999</v>
      </c>
      <c r="C8" s="28">
        <v>8.9194999999999993</v>
      </c>
      <c r="D8" s="29">
        <v>17.268999999999998</v>
      </c>
      <c r="E8" s="85">
        <f>B8+C8-D8</f>
        <v>0</v>
      </c>
      <c r="F8" s="7">
        <v>58</v>
      </c>
      <c r="G8" s="3">
        <f>F8*0.05</f>
        <v>2.9000000000000004</v>
      </c>
      <c r="H8" s="97">
        <f t="shared" si="1"/>
        <v>5.9548275862068953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0</v>
      </c>
      <c r="C9" s="28">
        <v>15.117000000000001</v>
      </c>
      <c r="D9" s="29">
        <v>15.117000000000001</v>
      </c>
      <c r="E9" s="85">
        <f>B9+C9-D9</f>
        <v>0</v>
      </c>
      <c r="F9" s="142">
        <v>71</v>
      </c>
      <c r="G9" s="3">
        <f t="shared" si="0"/>
        <v>3.5500000000000003</v>
      </c>
      <c r="H9" s="97">
        <f t="shared" si="1"/>
        <v>4.2583098591549291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20.549999999999997</v>
      </c>
      <c r="D20" s="2">
        <v>1.05</v>
      </c>
      <c r="E20" s="18">
        <v>0</v>
      </c>
      <c r="F20" s="47">
        <v>0</v>
      </c>
      <c r="G20" s="2">
        <f>C20+D20-E20+F20</f>
        <v>21.599999999999998</v>
      </c>
      <c r="H20" s="24">
        <v>0</v>
      </c>
      <c r="I20" s="17">
        <f t="shared" ref="I20:I34" si="3">G20-H20</f>
        <v>21.599999999999998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15.75</v>
      </c>
      <c r="D24" s="48">
        <v>0</v>
      </c>
      <c r="E24" s="49">
        <v>0</v>
      </c>
      <c r="F24" s="50">
        <v>0</v>
      </c>
      <c r="G24" s="48">
        <f t="shared" si="4"/>
        <v>15.75</v>
      </c>
      <c r="H24" s="51">
        <v>0</v>
      </c>
      <c r="I24" s="52">
        <f t="shared" si="3"/>
        <v>15.75</v>
      </c>
      <c r="J24" s="126">
        <v>0</v>
      </c>
      <c r="K24" s="134">
        <f>J24+0.15+0.07+0.1+0.12+0.13+0.1+0.12+0.12+0.135+0.13+0.12+0.235</f>
        <v>1.5299999999999998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207.45</v>
      </c>
      <c r="D25" s="48">
        <v>3.55</v>
      </c>
      <c r="E25" s="49">
        <v>0</v>
      </c>
      <c r="F25" s="50">
        <v>0</v>
      </c>
      <c r="G25" s="48">
        <f t="shared" si="4"/>
        <v>211</v>
      </c>
      <c r="H25" s="51">
        <v>0</v>
      </c>
      <c r="I25" s="52">
        <f t="shared" si="3"/>
        <v>211</v>
      </c>
      <c r="J25" s="126">
        <v>3.5000000000000003E-2</v>
      </c>
      <c r="K25" s="134">
        <f>J25+0.08+0.09+0.06+0.02+0.08+0.05+0.03+0.08+0.04+0.08+0.02+0.02+0.06+0.03+0.03+0.02+0.02+0.02</f>
        <v>0.86500000000000021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102.64999999999999</v>
      </c>
      <c r="D26" s="2">
        <v>2.9</v>
      </c>
      <c r="E26" s="18">
        <v>0</v>
      </c>
      <c r="F26" s="47">
        <v>0</v>
      </c>
      <c r="G26" s="2">
        <f t="shared" si="4"/>
        <v>105.55</v>
      </c>
      <c r="H26" s="24">
        <v>0</v>
      </c>
      <c r="I26" s="17">
        <f t="shared" si="3"/>
        <v>105.55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13.45</v>
      </c>
      <c r="D34" s="120">
        <v>0</v>
      </c>
      <c r="E34" s="121">
        <v>0</v>
      </c>
      <c r="F34" s="122">
        <v>0</v>
      </c>
      <c r="G34" s="120">
        <f t="shared" si="4"/>
        <v>13.45</v>
      </c>
      <c r="H34" s="123">
        <v>0</v>
      </c>
      <c r="I34" s="124">
        <f t="shared" si="3"/>
        <v>13.45</v>
      </c>
      <c r="J34" s="127">
        <v>0</v>
      </c>
      <c r="K34" s="134">
        <f>J34+0.2+0.08+0.54</f>
        <v>0.82000000000000006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873.85</v>
      </c>
      <c r="J35" s="140">
        <f>SUM(J22:J34)</f>
        <v>3.5000000000000003E-2</v>
      </c>
      <c r="K35" s="141">
        <f>SUM(K20:K34)</f>
        <v>3.2149999999999999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0F4B-AE00-4042-A75E-0C296B6A0D1F}">
  <sheetPr>
    <tabColor theme="4" tint="0.59999389629810485"/>
  </sheetPr>
  <dimension ref="A1:U50"/>
  <sheetViews>
    <sheetView topLeftCell="A18" zoomScale="98" zoomScaleNormal="98" workbookViewId="0">
      <selection activeCell="J37" sqref="J37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50</v>
      </c>
      <c r="H2" s="21">
        <v>45259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3.3304999999999998</v>
      </c>
      <c r="D6" s="6">
        <v>0</v>
      </c>
      <c r="E6" s="85">
        <f>B6+C6-D6</f>
        <v>3.3304999999999998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15.221500000000001</v>
      </c>
      <c r="D8" s="29">
        <v>12</v>
      </c>
      <c r="E8" s="85">
        <f>B8+C8-D8</f>
        <v>3.2215000000000007</v>
      </c>
      <c r="F8" s="7">
        <v>46</v>
      </c>
      <c r="G8" s="3">
        <f>F8*0.05</f>
        <v>2.3000000000000003</v>
      </c>
      <c r="H8" s="97">
        <f t="shared" si="1"/>
        <v>5.2173913043478253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0</v>
      </c>
      <c r="C9" s="28">
        <v>0</v>
      </c>
      <c r="D9" s="29">
        <v>0</v>
      </c>
      <c r="E9" s="85">
        <f>B9+C9-D9</f>
        <v>0</v>
      </c>
      <c r="F9" s="142">
        <v>12</v>
      </c>
      <c r="G9" s="3">
        <f t="shared" si="0"/>
        <v>0.60000000000000009</v>
      </c>
      <c r="H9" s="97">
        <f t="shared" si="1"/>
        <v>0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9.6564999999999994</v>
      </c>
      <c r="D14" s="100">
        <v>3</v>
      </c>
      <c r="E14" s="101">
        <f t="shared" si="2"/>
        <v>6.6564999999999994</v>
      </c>
      <c r="F14" s="143">
        <v>14</v>
      </c>
      <c r="G14" s="103">
        <f t="shared" si="0"/>
        <v>0.70000000000000007</v>
      </c>
      <c r="H14" s="104">
        <f t="shared" si="1"/>
        <v>4.2857142857142856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21.599999999999998</v>
      </c>
      <c r="D20" s="2">
        <v>0</v>
      </c>
      <c r="E20" s="18">
        <v>0</v>
      </c>
      <c r="F20" s="47">
        <v>0</v>
      </c>
      <c r="G20" s="2">
        <f>C20+D20-E20+F20</f>
        <v>21.599999999999998</v>
      </c>
      <c r="H20" s="24">
        <v>0</v>
      </c>
      <c r="I20" s="17">
        <f t="shared" ref="I20:I34" si="3">G20-H20</f>
        <v>21.599999999999998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15.75</v>
      </c>
      <c r="D24" s="48">
        <v>0.4</v>
      </c>
      <c r="E24" s="49">
        <v>0</v>
      </c>
      <c r="F24" s="50">
        <v>0</v>
      </c>
      <c r="G24" s="48">
        <f t="shared" si="4"/>
        <v>16.149999999999999</v>
      </c>
      <c r="H24" s="51">
        <v>0</v>
      </c>
      <c r="I24" s="52">
        <f t="shared" si="3"/>
        <v>16.149999999999999</v>
      </c>
      <c r="J24" s="126">
        <v>0.1</v>
      </c>
      <c r="K24" s="134">
        <f>J24+0.15+0.07+0.1+0.12+0.13+0.1+0.12+0.12+0.135+0.13+0.12+0.035+0.1+0.1</f>
        <v>1.6300000000000001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211</v>
      </c>
      <c r="D25" s="48">
        <v>0.6</v>
      </c>
      <c r="E25" s="49">
        <v>0</v>
      </c>
      <c r="F25" s="50">
        <v>0</v>
      </c>
      <c r="G25" s="48">
        <f t="shared" si="4"/>
        <v>211.6</v>
      </c>
      <c r="H25" s="51">
        <v>0</v>
      </c>
      <c r="I25" s="52">
        <f t="shared" si="3"/>
        <v>211.6</v>
      </c>
      <c r="J25" s="126">
        <v>0</v>
      </c>
      <c r="K25" s="134">
        <f>J25+0.08+0.09+0.06+0.02+0.08+0.05+0.03+0.08+0.04+0.08+0.02+0.02+0.06+0.03+0.03+0.02+0.02+0.02+0.035</f>
        <v>0.8650000000000001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105.55</v>
      </c>
      <c r="D26" s="2">
        <v>2.2999999999999998</v>
      </c>
      <c r="E26" s="18">
        <v>0</v>
      </c>
      <c r="F26" s="47">
        <v>0</v>
      </c>
      <c r="G26" s="2">
        <f t="shared" si="4"/>
        <v>107.85</v>
      </c>
      <c r="H26" s="24">
        <v>0</v>
      </c>
      <c r="I26" s="17">
        <f t="shared" si="3"/>
        <v>107.85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13.45</v>
      </c>
      <c r="D34" s="120">
        <v>0</v>
      </c>
      <c r="E34" s="121">
        <v>0</v>
      </c>
      <c r="F34" s="122">
        <v>0</v>
      </c>
      <c r="G34" s="120">
        <f t="shared" si="4"/>
        <v>13.45</v>
      </c>
      <c r="H34" s="123">
        <v>0</v>
      </c>
      <c r="I34" s="124">
        <f t="shared" si="3"/>
        <v>13.45</v>
      </c>
      <c r="J34" s="127">
        <v>0</v>
      </c>
      <c r="K34" s="134">
        <f>J34+0.2+0.08+0.54</f>
        <v>0.82000000000000006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877.15000000000009</v>
      </c>
      <c r="J35" s="140">
        <f>SUM(J22:J34)</f>
        <v>0.1</v>
      </c>
      <c r="K35" s="141">
        <f>SUM(K20:K34)</f>
        <v>3.3150000000000004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8220-09E7-4F7D-81DF-7E4B77908571}">
  <sheetPr>
    <tabColor theme="4" tint="0.59999389629810485"/>
  </sheetPr>
  <dimension ref="A1:U57"/>
  <sheetViews>
    <sheetView zoomScale="98" zoomScaleNormal="98" workbookViewId="0">
      <selection activeCell="F9" sqref="F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52</v>
      </c>
      <c r="H2" s="21">
        <v>45233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1.4695</v>
      </c>
      <c r="D6" s="6">
        <v>0</v>
      </c>
      <c r="E6" s="85">
        <f>B6+C6-D6</f>
        <v>1.4695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15.343500000000001</v>
      </c>
      <c r="D8" s="29">
        <v>0</v>
      </c>
      <c r="E8" s="85">
        <f>B8+C8-D8</f>
        <v>15.343500000000001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4.7709999999999013</v>
      </c>
      <c r="C9" s="28">
        <v>20.68</v>
      </c>
      <c r="D9" s="29">
        <v>15</v>
      </c>
      <c r="E9" s="85">
        <f>B9+C9-D9</f>
        <v>10.450999999999901</v>
      </c>
      <c r="F9" s="142">
        <v>72</v>
      </c>
      <c r="G9" s="3">
        <f t="shared" si="0"/>
        <v>3.6</v>
      </c>
      <c r="H9" s="97">
        <f t="shared" si="1"/>
        <v>4.166666666666667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02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26"/>
      <c r="H15" s="27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26"/>
      <c r="H16" s="27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15.75</v>
      </c>
      <c r="D20" s="2">
        <v>0</v>
      </c>
      <c r="E20" s="18">
        <v>0</v>
      </c>
      <c r="F20" s="47">
        <v>0</v>
      </c>
      <c r="G20" s="2">
        <f>C20+D20-E20+F20</f>
        <v>15.75</v>
      </c>
      <c r="H20" s="24">
        <v>0</v>
      </c>
      <c r="I20" s="17">
        <f t="shared" ref="I20:I34" si="3">G20-H20</f>
        <v>15.75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9.0500000000000007</v>
      </c>
      <c r="D24" s="48">
        <v>0</v>
      </c>
      <c r="E24" s="49">
        <v>0</v>
      </c>
      <c r="F24" s="50">
        <v>0</v>
      </c>
      <c r="G24" s="48">
        <f t="shared" si="4"/>
        <v>9.0500000000000007</v>
      </c>
      <c r="H24" s="51">
        <v>0</v>
      </c>
      <c r="I24" s="52">
        <f t="shared" si="3"/>
        <v>9.0500000000000007</v>
      </c>
      <c r="J24" s="126">
        <v>0</v>
      </c>
      <c r="K24" s="134">
        <f>J24+0.15+0.07+0.1+0.12</f>
        <v>0.44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138.19999999999999</v>
      </c>
      <c r="D25" s="48">
        <v>3.3</v>
      </c>
      <c r="E25" s="49">
        <v>0</v>
      </c>
      <c r="F25" s="50">
        <v>0</v>
      </c>
      <c r="G25" s="48">
        <f t="shared" si="4"/>
        <v>141.5</v>
      </c>
      <c r="H25" s="51">
        <v>0</v>
      </c>
      <c r="I25" s="52">
        <f t="shared" si="3"/>
        <v>141.5</v>
      </c>
      <c r="J25" s="126">
        <v>0.04</v>
      </c>
      <c r="K25" s="134">
        <f>J25+0.08+0.09+0.06+0.02+0.08+0.05</f>
        <v>0.42000000000000004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121.75</v>
      </c>
      <c r="D26" s="2">
        <v>0</v>
      </c>
      <c r="E26" s="18">
        <v>0</v>
      </c>
      <c r="F26" s="47">
        <v>0</v>
      </c>
      <c r="G26" s="2">
        <f t="shared" si="4"/>
        <v>121.75</v>
      </c>
      <c r="H26" s="24">
        <v>0</v>
      </c>
      <c r="I26" s="17">
        <f t="shared" si="3"/>
        <v>121.75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877.3</v>
      </c>
      <c r="J35" s="140">
        <f>SUM(J22:J34)</f>
        <v>0.04</v>
      </c>
      <c r="K35" s="141">
        <f>SUM(K20:K34)</f>
        <v>0.8600000000000001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56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78B2-6AE9-44CC-A490-B6E699ECBAB3}">
  <sheetPr>
    <tabColor theme="4" tint="0.59999389629810485"/>
  </sheetPr>
  <dimension ref="A1:U50"/>
  <sheetViews>
    <sheetView topLeftCell="A20" zoomScale="98" zoomScaleNormal="98" workbookViewId="0">
      <selection activeCell="J39" sqref="J3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51</v>
      </c>
      <c r="H2" s="21">
        <v>45260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3.3304999999999998</v>
      </c>
      <c r="C6" s="5">
        <v>2.1505000000000001</v>
      </c>
      <c r="D6" s="6">
        <v>0</v>
      </c>
      <c r="E6" s="85">
        <f>B6+C6-D6</f>
        <v>5.4809999999999999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3.2215000000000007</v>
      </c>
      <c r="C8" s="28">
        <v>6.42</v>
      </c>
      <c r="D8" s="29">
        <v>3.8</v>
      </c>
      <c r="E8" s="85">
        <f>B8+C8-D8</f>
        <v>5.8415000000000008</v>
      </c>
      <c r="F8" s="7">
        <v>10</v>
      </c>
      <c r="G8" s="3">
        <f>F8*0.05</f>
        <v>0.5</v>
      </c>
      <c r="H8" s="97">
        <f t="shared" si="1"/>
        <v>7.6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0</v>
      </c>
      <c r="C9" s="28">
        <v>8.4489999999999998</v>
      </c>
      <c r="D9" s="29">
        <v>0</v>
      </c>
      <c r="E9" s="85">
        <f>B9+C9-D9</f>
        <v>8.4489999999999998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6.6564999999999994</v>
      </c>
      <c r="C14" s="100">
        <v>0</v>
      </c>
      <c r="D14" s="100">
        <v>4</v>
      </c>
      <c r="E14" s="101">
        <f t="shared" si="2"/>
        <v>2.6564999999999994</v>
      </c>
      <c r="F14" s="143">
        <v>19</v>
      </c>
      <c r="G14" s="103">
        <f t="shared" si="0"/>
        <v>0.95000000000000007</v>
      </c>
      <c r="H14" s="104">
        <f t="shared" si="1"/>
        <v>4.2105263157894735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21.599999999999998</v>
      </c>
      <c r="D20" s="2">
        <v>0</v>
      </c>
      <c r="E20" s="18">
        <v>0</v>
      </c>
      <c r="F20" s="47">
        <v>0</v>
      </c>
      <c r="G20" s="2">
        <f>C20+D20-E20+F20</f>
        <v>21.599999999999998</v>
      </c>
      <c r="H20" s="24">
        <v>0</v>
      </c>
      <c r="I20" s="17">
        <f t="shared" ref="I20:I34" si="3">G20-H20</f>
        <v>21.599999999999998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16.149999999999999</v>
      </c>
      <c r="D24" s="48">
        <v>0.45</v>
      </c>
      <c r="E24" s="49">
        <v>0</v>
      </c>
      <c r="F24" s="50">
        <v>0</v>
      </c>
      <c r="G24" s="48">
        <f t="shared" si="4"/>
        <v>16.599999999999998</v>
      </c>
      <c r="H24" s="51">
        <v>0</v>
      </c>
      <c r="I24" s="52">
        <f t="shared" si="3"/>
        <v>16.599999999999998</v>
      </c>
      <c r="J24" s="126">
        <v>0</v>
      </c>
      <c r="K24" s="134">
        <f>J24+0.15+0.07+0.1+0.12+0.13+0.1+0.12+0.12+0.135+0.13+0.12+0.035+0.1+0.1+0.1</f>
        <v>1.6300000000000001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211.6</v>
      </c>
      <c r="D25" s="48">
        <v>0</v>
      </c>
      <c r="E25" s="49">
        <v>0</v>
      </c>
      <c r="F25" s="50">
        <v>0</v>
      </c>
      <c r="G25" s="48">
        <f t="shared" si="4"/>
        <v>211.6</v>
      </c>
      <c r="H25" s="51">
        <v>0</v>
      </c>
      <c r="I25" s="52">
        <f t="shared" si="3"/>
        <v>211.6</v>
      </c>
      <c r="J25" s="126">
        <v>0</v>
      </c>
      <c r="K25" s="134">
        <f>J25+0.08+0.09+0.06+0.02+0.08+0.05+0.03+0.08+0.04+0.08+0.02+0.02+0.06+0.03+0.03+0.02+0.02+0.02+0.035</f>
        <v>0.8650000000000001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107.85</v>
      </c>
      <c r="D26" s="2">
        <v>0.5</v>
      </c>
      <c r="E26" s="18">
        <v>0</v>
      </c>
      <c r="F26" s="47">
        <v>0</v>
      </c>
      <c r="G26" s="2">
        <f t="shared" si="4"/>
        <v>108.35</v>
      </c>
      <c r="H26" s="24">
        <v>0</v>
      </c>
      <c r="I26" s="17">
        <f t="shared" si="3"/>
        <v>108.35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13.45</v>
      </c>
      <c r="D34" s="120">
        <v>0</v>
      </c>
      <c r="E34" s="121">
        <v>0</v>
      </c>
      <c r="F34" s="122">
        <v>0</v>
      </c>
      <c r="G34" s="120">
        <f t="shared" si="4"/>
        <v>13.45</v>
      </c>
      <c r="H34" s="123">
        <v>0</v>
      </c>
      <c r="I34" s="124">
        <f t="shared" si="3"/>
        <v>13.45</v>
      </c>
      <c r="J34" s="127">
        <v>0</v>
      </c>
      <c r="K34" s="134">
        <f>J34+0.2+0.08+0.54</f>
        <v>0.82000000000000006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878.1</v>
      </c>
      <c r="J35" s="140">
        <f>SUM(J22:J34)</f>
        <v>0</v>
      </c>
      <c r="K35" s="141">
        <f>SUM(K20:K34)</f>
        <v>3.3150000000000004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75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7662B-578A-403E-9F64-5B9CD87EC3C6}">
  <sheetPr>
    <tabColor theme="4" tint="0.59999389629810485"/>
  </sheetPr>
  <dimension ref="A1:U50"/>
  <sheetViews>
    <sheetView topLeftCell="A16" zoomScale="98" zoomScaleNormal="98" workbookViewId="0">
      <selection activeCell="F9" sqref="F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52</v>
      </c>
      <c r="H2" s="21">
        <v>45261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5.4809999999999999</v>
      </c>
      <c r="C6" s="5">
        <v>6.0404999999999998</v>
      </c>
      <c r="D6" s="6">
        <v>11.5215</v>
      </c>
      <c r="E6" s="85">
        <f>B6+C6-D6</f>
        <v>0</v>
      </c>
      <c r="F6" s="7">
        <v>23</v>
      </c>
      <c r="G6" s="3">
        <f t="shared" ref="G6:G14" si="0">F6*0.05</f>
        <v>1.1500000000000001</v>
      </c>
      <c r="H6" s="97">
        <f t="shared" ref="H6:H14" si="1">D6/G6</f>
        <v>10.018695652173912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5.8415000000000008</v>
      </c>
      <c r="C8" s="28">
        <v>24.241700000000002</v>
      </c>
      <c r="D8" s="29">
        <v>27</v>
      </c>
      <c r="E8" s="85">
        <f>B8+C8-D8</f>
        <v>3.0832000000000015</v>
      </c>
      <c r="F8" s="7">
        <v>110</v>
      </c>
      <c r="G8" s="3">
        <f>F8*0.05</f>
        <v>5.5</v>
      </c>
      <c r="H8" s="97">
        <f t="shared" si="1"/>
        <v>4.9090909090909092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8.4489999999999998</v>
      </c>
      <c r="C9" s="28">
        <v>8.6709999999999994</v>
      </c>
      <c r="D9" s="29">
        <v>6.5</v>
      </c>
      <c r="E9" s="85">
        <f>B9+C9-D9</f>
        <v>10.619999999999997</v>
      </c>
      <c r="F9" s="142">
        <v>31</v>
      </c>
      <c r="G9" s="3">
        <f t="shared" si="0"/>
        <v>1.55</v>
      </c>
      <c r="H9" s="97">
        <f t="shared" si="1"/>
        <v>4.193548387096774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12.641500000000001</v>
      </c>
      <c r="D12" s="29">
        <v>5.4</v>
      </c>
      <c r="E12" s="85">
        <f>B12+C12-D12</f>
        <v>7.2415000000000003</v>
      </c>
      <c r="F12" s="142">
        <v>26</v>
      </c>
      <c r="G12" s="3">
        <f t="shared" si="0"/>
        <v>1.3</v>
      </c>
      <c r="H12" s="97">
        <f t="shared" si="1"/>
        <v>4.1538461538461542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2.6564999999999994</v>
      </c>
      <c r="C14" s="100">
        <v>3.6080000000000001</v>
      </c>
      <c r="D14" s="100">
        <v>6.2645</v>
      </c>
      <c r="E14" s="101">
        <f t="shared" si="2"/>
        <v>0</v>
      </c>
      <c r="F14" s="143">
        <v>30</v>
      </c>
      <c r="G14" s="103">
        <f t="shared" si="0"/>
        <v>1.5</v>
      </c>
      <c r="H14" s="104">
        <f t="shared" si="1"/>
        <v>4.176333333333333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21.599999999999998</v>
      </c>
      <c r="D20" s="2">
        <v>1.1499999999999999</v>
      </c>
      <c r="E20" s="18">
        <v>0</v>
      </c>
      <c r="F20" s="47">
        <v>0</v>
      </c>
      <c r="G20" s="2">
        <f>C20+D20-E20+F20</f>
        <v>22.749999999999996</v>
      </c>
      <c r="H20" s="24">
        <v>0</v>
      </c>
      <c r="I20" s="17">
        <f t="shared" ref="I20:I34" si="3">G20-H20</f>
        <v>22.749999999999996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16.149999999999999</v>
      </c>
      <c r="D24" s="48">
        <v>0.85</v>
      </c>
      <c r="E24" s="49">
        <v>0</v>
      </c>
      <c r="F24" s="50">
        <v>0</v>
      </c>
      <c r="G24" s="48">
        <f t="shared" si="4"/>
        <v>17</v>
      </c>
      <c r="H24" s="51">
        <v>0</v>
      </c>
      <c r="I24" s="52">
        <f t="shared" si="3"/>
        <v>17</v>
      </c>
      <c r="J24" s="126">
        <v>8.4000000000000005E-2</v>
      </c>
      <c r="K24" s="134">
        <f>J24+0.15+0.07+0.1+0.12+0.13+0.1+0.12+0.12+0.135+0.13+0.12+0.035+0.1+0.1+0.1</f>
        <v>1.7140000000000002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212.04999999999998</v>
      </c>
      <c r="D25" s="48">
        <v>1.1499999999999999</v>
      </c>
      <c r="E25" s="49">
        <v>0</v>
      </c>
      <c r="F25" s="50">
        <v>0</v>
      </c>
      <c r="G25" s="48">
        <f t="shared" si="4"/>
        <v>213.2</v>
      </c>
      <c r="H25" s="51">
        <v>0</v>
      </c>
      <c r="I25" s="52">
        <f t="shared" si="3"/>
        <v>213.2</v>
      </c>
      <c r="J25" s="126">
        <v>0</v>
      </c>
      <c r="K25" s="134">
        <f>J25+0.08+0.09+0.06+0.02+0.08+0.05+0.03+0.08+0.04+0.08+0.02+0.02+0.06+0.03+0.03+0.02+0.02+0.02+0.035</f>
        <v>0.8650000000000001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108.35</v>
      </c>
      <c r="D26" s="2">
        <v>5.5</v>
      </c>
      <c r="E26" s="18">
        <v>0</v>
      </c>
      <c r="F26" s="47">
        <v>0</v>
      </c>
      <c r="G26" s="2">
        <f t="shared" si="4"/>
        <v>113.85</v>
      </c>
      <c r="H26" s="24">
        <v>0</v>
      </c>
      <c r="I26" s="17">
        <f t="shared" si="3"/>
        <v>113.85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13.45</v>
      </c>
      <c r="D34" s="120">
        <v>0.65</v>
      </c>
      <c r="E34" s="121">
        <v>0</v>
      </c>
      <c r="F34" s="122">
        <v>0</v>
      </c>
      <c r="G34" s="120">
        <f t="shared" si="4"/>
        <v>14.1</v>
      </c>
      <c r="H34" s="123">
        <v>0</v>
      </c>
      <c r="I34" s="124">
        <f t="shared" si="3"/>
        <v>14.1</v>
      </c>
      <c r="J34" s="127">
        <v>0.33600000000000002</v>
      </c>
      <c r="K34" s="134">
        <f>J34+0.2+0.08+0.54</f>
        <v>1.1560000000000001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887.4</v>
      </c>
      <c r="J35" s="140">
        <f>SUM(J22:J34)</f>
        <v>0.42000000000000004</v>
      </c>
      <c r="K35" s="141">
        <f>SUM(K20:K34)</f>
        <v>3.7350000000000003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F54F-2713-4590-8B3F-4F0BA8BE683E}">
  <sheetPr>
    <tabColor theme="4" tint="0.59999389629810485"/>
  </sheetPr>
  <dimension ref="A1:U50"/>
  <sheetViews>
    <sheetView zoomScale="98" zoomScaleNormal="98" workbookViewId="0">
      <selection activeCell="F10" sqref="F10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57</v>
      </c>
      <c r="H2" s="21">
        <v>45262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3.6539999999999999</v>
      </c>
      <c r="D6" s="6">
        <v>0</v>
      </c>
      <c r="E6" s="85">
        <f>B6+C6-D6</f>
        <v>3.6539999999999999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3.0832000000000015</v>
      </c>
      <c r="C8" s="28">
        <v>14.528</v>
      </c>
      <c r="D8" s="29">
        <v>0</v>
      </c>
      <c r="E8" s="85">
        <f>B8+C8-D8</f>
        <v>17.611200000000004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10.619999999999997</v>
      </c>
      <c r="C9" s="28">
        <v>15.988</v>
      </c>
      <c r="D9" s="29">
        <v>22</v>
      </c>
      <c r="E9" s="85">
        <f>B9+C9-D9</f>
        <v>4.607999999999997</v>
      </c>
      <c r="F9" s="142">
        <v>102</v>
      </c>
      <c r="G9" s="3">
        <f t="shared" si="0"/>
        <v>5.1000000000000005</v>
      </c>
      <c r="H9" s="97">
        <f t="shared" si="1"/>
        <v>4.3137254901960782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7.2415000000000003</v>
      </c>
      <c r="C12" s="30">
        <v>12.5205</v>
      </c>
      <c r="D12" s="29">
        <v>14.2</v>
      </c>
      <c r="E12" s="85">
        <f>B12+C12-D12</f>
        <v>5.5620000000000012</v>
      </c>
      <c r="F12" s="142">
        <v>68</v>
      </c>
      <c r="G12" s="3">
        <f t="shared" si="0"/>
        <v>3.4000000000000004</v>
      </c>
      <c r="H12" s="97">
        <f t="shared" si="1"/>
        <v>4.1764705882352935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22.749999999999996</v>
      </c>
      <c r="D20" s="2">
        <v>0</v>
      </c>
      <c r="E20" s="18">
        <v>0</v>
      </c>
      <c r="F20" s="47">
        <v>0</v>
      </c>
      <c r="G20" s="2">
        <f>C20+D20-E20+F20</f>
        <v>22.749999999999996</v>
      </c>
      <c r="H20" s="24">
        <v>0</v>
      </c>
      <c r="I20" s="17">
        <f t="shared" ref="I20:I34" si="3">G20-H20</f>
        <v>22.749999999999996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17</v>
      </c>
      <c r="D24" s="48">
        <v>0</v>
      </c>
      <c r="E24" s="49">
        <v>0</v>
      </c>
      <c r="F24" s="50">
        <v>0</v>
      </c>
      <c r="G24" s="48">
        <f t="shared" si="4"/>
        <v>17</v>
      </c>
      <c r="H24" s="51">
        <v>0</v>
      </c>
      <c r="I24" s="52">
        <f t="shared" si="3"/>
        <v>17</v>
      </c>
      <c r="J24" s="126">
        <v>0</v>
      </c>
      <c r="K24" s="134">
        <v>0</v>
      </c>
      <c r="L24" s="134">
        <v>1.83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213.2</v>
      </c>
      <c r="D25" s="48">
        <v>4.0999999999999996</v>
      </c>
      <c r="E25" s="49">
        <v>0</v>
      </c>
      <c r="F25" s="50">
        <v>0</v>
      </c>
      <c r="G25" s="48">
        <f t="shared" si="4"/>
        <v>217.29999999999998</v>
      </c>
      <c r="H25" s="51">
        <v>0</v>
      </c>
      <c r="I25" s="52">
        <f t="shared" si="3"/>
        <v>217.29999999999998</v>
      </c>
      <c r="J25" s="126">
        <v>0.03</v>
      </c>
      <c r="K25" s="134">
        <v>0.03</v>
      </c>
      <c r="L25" s="134">
        <v>0.86599999999999999</v>
      </c>
      <c r="M25" s="136">
        <v>0.03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113.85</v>
      </c>
      <c r="D26" s="2">
        <v>0</v>
      </c>
      <c r="E26" s="18">
        <v>0</v>
      </c>
      <c r="F26" s="47">
        <v>0</v>
      </c>
      <c r="G26" s="2">
        <f t="shared" si="4"/>
        <v>113.85</v>
      </c>
      <c r="H26" s="24">
        <v>0</v>
      </c>
      <c r="I26" s="17">
        <f t="shared" si="3"/>
        <v>113.85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14.1</v>
      </c>
      <c r="D34" s="120">
        <v>1.6</v>
      </c>
      <c r="E34" s="121">
        <v>0</v>
      </c>
      <c r="F34" s="122">
        <v>0</v>
      </c>
      <c r="G34" s="120">
        <f t="shared" si="4"/>
        <v>15.7</v>
      </c>
      <c r="H34" s="123">
        <v>0</v>
      </c>
      <c r="I34" s="124">
        <f t="shared" si="3"/>
        <v>15.7</v>
      </c>
      <c r="J34" s="127">
        <v>0.5</v>
      </c>
      <c r="K34" s="134">
        <v>0.5</v>
      </c>
      <c r="L34" s="134">
        <v>1.3</v>
      </c>
      <c r="M34" s="136">
        <v>0.5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893.1</v>
      </c>
      <c r="J35" s="140">
        <f>SUM(J22:J34)</f>
        <v>0.53</v>
      </c>
      <c r="K35" s="141">
        <f>SUM(K20:K34)</f>
        <v>0.53</v>
      </c>
      <c r="L35" s="141">
        <f>SUM(L20:L34)</f>
        <v>3.9960000000000004</v>
      </c>
      <c r="M35" s="139">
        <f>SUM(M20:M34)</f>
        <v>0.53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76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 t="s">
        <v>77</v>
      </c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111F-0561-4E9C-B594-33214B79FBE1}">
  <sheetPr>
    <tabColor theme="4" tint="0.59999389629810485"/>
  </sheetPr>
  <dimension ref="A1:U50"/>
  <sheetViews>
    <sheetView zoomScale="98" zoomScaleNormal="98" workbookViewId="0">
      <selection activeCell="J12" sqref="J12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58</v>
      </c>
      <c r="H2" s="21">
        <v>45263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3.6539999999999999</v>
      </c>
      <c r="C6" s="5">
        <v>0</v>
      </c>
      <c r="D6" s="6">
        <v>0</v>
      </c>
      <c r="E6" s="85">
        <f>B6+C6-D6</f>
        <v>3.6539999999999999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17.611200000000004</v>
      </c>
      <c r="C8" s="28">
        <v>0</v>
      </c>
      <c r="D8" s="29">
        <v>0</v>
      </c>
      <c r="E8" s="85">
        <f>B8+C8-D8</f>
        <v>17.611200000000004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4.607999999999997</v>
      </c>
      <c r="C9" s="28">
        <v>0</v>
      </c>
      <c r="D9" s="29">
        <v>0</v>
      </c>
      <c r="E9" s="85">
        <f>B9+C9-D9</f>
        <v>4.607999999999997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5.5620000000000012</v>
      </c>
      <c r="C12" s="30">
        <v>0</v>
      </c>
      <c r="D12" s="29">
        <v>0</v>
      </c>
      <c r="E12" s="85">
        <f>B12+C12-D12</f>
        <v>5.5620000000000012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22.749999999999996</v>
      </c>
      <c r="D20" s="2">
        <v>0</v>
      </c>
      <c r="E20" s="18">
        <v>0</v>
      </c>
      <c r="F20" s="47">
        <v>0</v>
      </c>
      <c r="G20" s="2">
        <f>C20+D20-E20+F20</f>
        <v>22.749999999999996</v>
      </c>
      <c r="H20" s="24">
        <v>0</v>
      </c>
      <c r="I20" s="17">
        <f t="shared" ref="I20:I34" si="3">G20-H20</f>
        <v>22.749999999999996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17</v>
      </c>
      <c r="D24" s="48">
        <v>0</v>
      </c>
      <c r="E24" s="49">
        <v>0</v>
      </c>
      <c r="F24" s="50">
        <v>0</v>
      </c>
      <c r="G24" s="48">
        <f t="shared" si="4"/>
        <v>17</v>
      </c>
      <c r="H24" s="51">
        <v>0</v>
      </c>
      <c r="I24" s="52">
        <f t="shared" si="3"/>
        <v>17</v>
      </c>
      <c r="J24" s="126">
        <v>0</v>
      </c>
      <c r="K24" s="134">
        <v>0</v>
      </c>
      <c r="L24" s="134">
        <v>1.83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217.29999999999998</v>
      </c>
      <c r="D25" s="48">
        <v>0</v>
      </c>
      <c r="E25" s="49">
        <v>0</v>
      </c>
      <c r="F25" s="50">
        <v>0</v>
      </c>
      <c r="G25" s="48">
        <f t="shared" si="4"/>
        <v>217.29999999999998</v>
      </c>
      <c r="H25" s="51">
        <v>0</v>
      </c>
      <c r="I25" s="52">
        <f t="shared" si="3"/>
        <v>217.29999999999998</v>
      </c>
      <c r="J25" s="126">
        <v>0</v>
      </c>
      <c r="K25" s="134">
        <f>J25+0.3</f>
        <v>0.3</v>
      </c>
      <c r="L25" s="134">
        <v>0.86599999999999999</v>
      </c>
      <c r="M25" s="136">
        <v>0.03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113.85</v>
      </c>
      <c r="D26" s="2">
        <v>0</v>
      </c>
      <c r="E26" s="18">
        <v>0</v>
      </c>
      <c r="F26" s="47">
        <v>0</v>
      </c>
      <c r="G26" s="2">
        <f t="shared" si="4"/>
        <v>113.85</v>
      </c>
      <c r="H26" s="24">
        <v>0</v>
      </c>
      <c r="I26" s="17">
        <f t="shared" si="3"/>
        <v>113.85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15.7</v>
      </c>
      <c r="D34" s="120">
        <v>0</v>
      </c>
      <c r="E34" s="121">
        <v>0</v>
      </c>
      <c r="F34" s="122">
        <v>0</v>
      </c>
      <c r="G34" s="120">
        <f t="shared" si="4"/>
        <v>15.7</v>
      </c>
      <c r="H34" s="123">
        <v>0</v>
      </c>
      <c r="I34" s="124">
        <f t="shared" si="3"/>
        <v>15.7</v>
      </c>
      <c r="J34" s="127">
        <v>0</v>
      </c>
      <c r="K34" s="134">
        <f>J34+0.5</f>
        <v>0.5</v>
      </c>
      <c r="L34" s="134">
        <v>1.3</v>
      </c>
      <c r="M34" s="136">
        <v>0.5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893.1</v>
      </c>
      <c r="J35" s="140">
        <f>SUM(J22:J34)</f>
        <v>0</v>
      </c>
      <c r="K35" s="141">
        <f>SUM(K20:K34)</f>
        <v>0.8</v>
      </c>
      <c r="L35" s="141">
        <f>SUM(L20:L34)</f>
        <v>3.9960000000000004</v>
      </c>
      <c r="M35" s="139">
        <f>SUM(M20:M34)</f>
        <v>0.53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743F-3D25-4F61-A914-FA89E9F66D0D}">
  <sheetPr>
    <tabColor theme="4" tint="0.59999389629810485"/>
  </sheetPr>
  <dimension ref="A1:U50"/>
  <sheetViews>
    <sheetView topLeftCell="B1" zoomScale="98" zoomScaleNormal="98" workbookViewId="0">
      <selection activeCell="F12" sqref="F12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59</v>
      </c>
      <c r="H2" s="21">
        <v>45264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3.6539999999999999</v>
      </c>
      <c r="C6" s="5">
        <v>4.63</v>
      </c>
      <c r="D6" s="6">
        <v>5</v>
      </c>
      <c r="E6" s="85">
        <f>B6+C6-D6</f>
        <v>3.2839999999999989</v>
      </c>
      <c r="F6" s="7">
        <v>11</v>
      </c>
      <c r="G6" s="3">
        <f t="shared" ref="G6:G14" si="0">F6*0.05</f>
        <v>0.55000000000000004</v>
      </c>
      <c r="H6" s="97">
        <f t="shared" ref="H6:H14" si="1">D6/G6</f>
        <v>9.0909090909090899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17.611200000000004</v>
      </c>
      <c r="C8" s="28">
        <v>6.1470000000000002</v>
      </c>
      <c r="D8" s="29">
        <v>19.600000000000001</v>
      </c>
      <c r="E8" s="85">
        <f>B8+C8-D8</f>
        <v>4.1582000000000008</v>
      </c>
      <c r="F8" s="7">
        <v>63</v>
      </c>
      <c r="G8" s="3">
        <f>F8*0.05</f>
        <v>3.1500000000000004</v>
      </c>
      <c r="H8" s="97">
        <f t="shared" si="1"/>
        <v>6.2222222222222223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4.607999999999997</v>
      </c>
      <c r="C9" s="28">
        <v>18.872499999999999</v>
      </c>
      <c r="D9" s="29">
        <v>11.5</v>
      </c>
      <c r="E9" s="85">
        <f>B9+C9-D9</f>
        <v>11.980499999999996</v>
      </c>
      <c r="F9" s="142">
        <v>52</v>
      </c>
      <c r="G9" s="3">
        <f t="shared" si="0"/>
        <v>2.6</v>
      </c>
      <c r="H9" s="97">
        <f t="shared" si="1"/>
        <v>4.4230769230769234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5.5620000000000012</v>
      </c>
      <c r="C12" s="30">
        <v>0</v>
      </c>
      <c r="D12" s="29">
        <v>5.5620000000000003</v>
      </c>
      <c r="E12" s="85">
        <f>B12+C12-D12</f>
        <v>0</v>
      </c>
      <c r="F12" s="142">
        <v>26</v>
      </c>
      <c r="G12" s="3">
        <f t="shared" si="0"/>
        <v>1.3</v>
      </c>
      <c r="H12" s="97">
        <f t="shared" si="1"/>
        <v>4.2784615384615385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22.749999999999996</v>
      </c>
      <c r="D20" s="2">
        <v>0.55000000000000004</v>
      </c>
      <c r="E20" s="18">
        <v>0</v>
      </c>
      <c r="F20" s="47">
        <v>0</v>
      </c>
      <c r="G20" s="2">
        <f>C20+D20-E20+F20</f>
        <v>23.299999999999997</v>
      </c>
      <c r="H20" s="24">
        <v>0</v>
      </c>
      <c r="I20" s="17">
        <f t="shared" ref="I20:I34" si="3">G20-H20</f>
        <v>23.299999999999997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17</v>
      </c>
      <c r="D24" s="48">
        <v>0</v>
      </c>
      <c r="E24" s="49">
        <v>0</v>
      </c>
      <c r="F24" s="50">
        <v>0</v>
      </c>
      <c r="G24" s="48">
        <f t="shared" si="4"/>
        <v>17</v>
      </c>
      <c r="H24" s="51">
        <v>0</v>
      </c>
      <c r="I24" s="52">
        <f t="shared" si="3"/>
        <v>17</v>
      </c>
      <c r="J24" s="126">
        <v>0</v>
      </c>
      <c r="K24" s="134">
        <v>0</v>
      </c>
      <c r="L24" s="134">
        <v>1.83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217.29999999999998</v>
      </c>
      <c r="D25" s="48">
        <v>2</v>
      </c>
      <c r="E25" s="49">
        <v>0</v>
      </c>
      <c r="F25" s="50">
        <v>0</v>
      </c>
      <c r="G25" s="48">
        <f t="shared" si="4"/>
        <v>219.29999999999998</v>
      </c>
      <c r="H25" s="51">
        <v>0</v>
      </c>
      <c r="I25" s="52">
        <f t="shared" si="3"/>
        <v>219.29999999999998</v>
      </c>
      <c r="J25" s="126">
        <v>0.05</v>
      </c>
      <c r="K25" s="134">
        <f>J25+0.3</f>
        <v>0.35</v>
      </c>
      <c r="L25" s="134">
        <v>0.86599999999999999</v>
      </c>
      <c r="M25" s="136">
        <v>0.03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113.85</v>
      </c>
      <c r="D26" s="2">
        <v>3.15</v>
      </c>
      <c r="E26" s="18">
        <v>0</v>
      </c>
      <c r="F26" s="47">
        <v>0</v>
      </c>
      <c r="G26" s="2">
        <f t="shared" si="4"/>
        <v>117</v>
      </c>
      <c r="H26" s="24">
        <v>0</v>
      </c>
      <c r="I26" s="17">
        <f t="shared" si="3"/>
        <v>117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210</v>
      </c>
      <c r="D28" s="2">
        <v>0</v>
      </c>
      <c r="E28" s="18">
        <v>0</v>
      </c>
      <c r="F28" s="47">
        <v>0</v>
      </c>
      <c r="G28" s="2">
        <f t="shared" si="4"/>
        <v>210</v>
      </c>
      <c r="H28" s="24">
        <v>0</v>
      </c>
      <c r="I28" s="17">
        <f t="shared" si="3"/>
        <v>210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295.25</v>
      </c>
      <c r="D29" s="54">
        <v>0</v>
      </c>
      <c r="E29" s="55">
        <v>0</v>
      </c>
      <c r="F29" s="56">
        <v>0</v>
      </c>
      <c r="G29" s="2">
        <f t="shared" si="4"/>
        <v>295.25</v>
      </c>
      <c r="H29" s="24">
        <v>0</v>
      </c>
      <c r="I29" s="17">
        <f t="shared" si="3"/>
        <v>295.25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68</v>
      </c>
      <c r="G30" s="2">
        <f t="shared" si="4"/>
        <v>68</v>
      </c>
      <c r="H30" s="24">
        <v>0</v>
      </c>
      <c r="I30" s="17">
        <f t="shared" si="3"/>
        <v>68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15.7</v>
      </c>
      <c r="D34" s="120">
        <v>1</v>
      </c>
      <c r="E34" s="121">
        <v>0</v>
      </c>
      <c r="F34" s="122">
        <v>0</v>
      </c>
      <c r="G34" s="120">
        <f t="shared" si="4"/>
        <v>16.7</v>
      </c>
      <c r="H34" s="123">
        <v>0</v>
      </c>
      <c r="I34" s="124">
        <f t="shared" si="3"/>
        <v>16.7</v>
      </c>
      <c r="J34" s="127">
        <v>0</v>
      </c>
      <c r="K34" s="134">
        <f>J34+0.5</f>
        <v>0.5</v>
      </c>
      <c r="L34" s="134">
        <v>1.3</v>
      </c>
      <c r="M34" s="136">
        <v>0.5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967.8</v>
      </c>
      <c r="J35" s="140">
        <f>SUM(J22:J34)</f>
        <v>0.05</v>
      </c>
      <c r="K35" s="141">
        <f>SUM(K20:K34)</f>
        <v>0.85</v>
      </c>
      <c r="L35" s="141">
        <f>SUM(L20:L34)</f>
        <v>3.9960000000000004</v>
      </c>
      <c r="M35" s="139">
        <f>SUM(M20:M34)</f>
        <v>0.53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78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 t="s">
        <v>79</v>
      </c>
      <c r="C40" s="15"/>
      <c r="E40" s="61"/>
      <c r="I40" s="13"/>
    </row>
    <row r="41" spans="2:15" x14ac:dyDescent="0.25">
      <c r="B41" s="4" t="s">
        <v>80</v>
      </c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A031-58F9-4FDD-921E-2EE882646A42}">
  <sheetPr>
    <tabColor theme="4" tint="0.59999389629810485"/>
  </sheetPr>
  <dimension ref="A1:U50"/>
  <sheetViews>
    <sheetView zoomScale="98" zoomScaleNormal="98" workbookViewId="0">
      <selection activeCell="C25" sqref="C25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61</v>
      </c>
      <c r="H2" s="21">
        <v>45265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3.2839999999999989</v>
      </c>
      <c r="C6" s="5">
        <v>11.204000000000001</v>
      </c>
      <c r="D6" s="6">
        <v>0</v>
      </c>
      <c r="E6" s="85">
        <f>B6+C6-D6</f>
        <v>14.488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4.1582000000000008</v>
      </c>
      <c r="C8" s="28">
        <v>9.8209999999999997</v>
      </c>
      <c r="D8" s="29">
        <v>0</v>
      </c>
      <c r="E8" s="85">
        <f>B8+C8-D8</f>
        <v>13.979200000000001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11.980499999999996</v>
      </c>
      <c r="C9" s="28">
        <v>25.763999999999999</v>
      </c>
      <c r="D9" s="29">
        <v>25</v>
      </c>
      <c r="E9" s="85">
        <f>B9+C9-D9</f>
        <v>12.744499999999995</v>
      </c>
      <c r="F9" s="142">
        <v>113</v>
      </c>
      <c r="G9" s="3">
        <f t="shared" si="0"/>
        <v>5.65</v>
      </c>
      <c r="H9" s="97">
        <f t="shared" si="1"/>
        <v>4.4247787610619467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12.813499999999999</v>
      </c>
      <c r="D12" s="29">
        <v>3.5</v>
      </c>
      <c r="E12" s="85">
        <f>B12+C12-D12</f>
        <v>9.3134999999999994</v>
      </c>
      <c r="F12" s="142">
        <v>16</v>
      </c>
      <c r="G12" s="3">
        <f t="shared" si="0"/>
        <v>0.8</v>
      </c>
      <c r="H12" s="97">
        <f t="shared" si="1"/>
        <v>4.375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5.5125000000000002</v>
      </c>
      <c r="D14" s="100">
        <v>0</v>
      </c>
      <c r="E14" s="101">
        <f t="shared" si="2"/>
        <v>5.5125000000000002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23.5</v>
      </c>
      <c r="D20" s="2">
        <v>0</v>
      </c>
      <c r="E20" s="18">
        <v>0</v>
      </c>
      <c r="F20" s="47">
        <v>0</v>
      </c>
      <c r="G20" s="2">
        <f>C20+D20-E20+F20</f>
        <v>23.5</v>
      </c>
      <c r="H20" s="24">
        <v>0</v>
      </c>
      <c r="I20" s="17">
        <f t="shared" ref="I20:I34" si="3">G20-H20</f>
        <v>23.5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18.95</v>
      </c>
      <c r="D24" s="48">
        <v>0</v>
      </c>
      <c r="E24" s="49">
        <v>0</v>
      </c>
      <c r="F24" s="50">
        <v>0</v>
      </c>
      <c r="G24" s="48">
        <f t="shared" si="4"/>
        <v>18.95</v>
      </c>
      <c r="H24" s="51">
        <v>0</v>
      </c>
      <c r="I24" s="52">
        <f t="shared" si="3"/>
        <v>18.95</v>
      </c>
      <c r="J24" s="126">
        <v>0</v>
      </c>
      <c r="K24" s="134">
        <v>0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261.25</v>
      </c>
      <c r="D25" s="48">
        <v>4.6500000000000004</v>
      </c>
      <c r="E25" s="49">
        <v>0</v>
      </c>
      <c r="F25" s="50">
        <v>0</v>
      </c>
      <c r="G25" s="48">
        <f t="shared" si="4"/>
        <v>265.89999999999998</v>
      </c>
      <c r="H25" s="51">
        <v>0</v>
      </c>
      <c r="I25" s="52">
        <f t="shared" si="3"/>
        <v>265.89999999999998</v>
      </c>
      <c r="J25" s="126">
        <v>7.0000000000000007E-2</v>
      </c>
      <c r="K25" s="134">
        <f>J25+0.3+0.05</f>
        <v>0.42</v>
      </c>
      <c r="L25" s="134">
        <v>0</v>
      </c>
      <c r="M25" s="136">
        <v>0.03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83.15</v>
      </c>
      <c r="D26" s="2">
        <v>0</v>
      </c>
      <c r="E26" s="18">
        <v>0</v>
      </c>
      <c r="F26" s="47">
        <v>0</v>
      </c>
      <c r="G26" s="2">
        <f t="shared" si="4"/>
        <v>83.15</v>
      </c>
      <c r="H26" s="24">
        <v>0</v>
      </c>
      <c r="I26" s="17">
        <f t="shared" si="3"/>
        <v>83.15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200.65</v>
      </c>
      <c r="D29" s="54">
        <v>0</v>
      </c>
      <c r="E29" s="55">
        <v>0</v>
      </c>
      <c r="F29" s="56">
        <v>0</v>
      </c>
      <c r="G29" s="2">
        <f t="shared" si="4"/>
        <v>200.65</v>
      </c>
      <c r="H29" s="24">
        <v>0</v>
      </c>
      <c r="I29" s="17">
        <f t="shared" si="3"/>
        <v>200.65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68</v>
      </c>
      <c r="D30" s="54">
        <v>0</v>
      </c>
      <c r="E30" s="55">
        <v>0</v>
      </c>
      <c r="F30" s="56">
        <v>32</v>
      </c>
      <c r="G30" s="2">
        <f t="shared" si="4"/>
        <v>100</v>
      </c>
      <c r="H30" s="24">
        <v>0</v>
      </c>
      <c r="I30" s="17">
        <f t="shared" si="3"/>
        <v>100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14.85</v>
      </c>
      <c r="D34" s="120">
        <v>0.4</v>
      </c>
      <c r="E34" s="121">
        <v>0</v>
      </c>
      <c r="F34" s="122">
        <v>0</v>
      </c>
      <c r="G34" s="120">
        <f t="shared" si="4"/>
        <v>15.25</v>
      </c>
      <c r="H34" s="123">
        <v>0</v>
      </c>
      <c r="I34" s="124">
        <f t="shared" si="3"/>
        <v>15.25</v>
      </c>
      <c r="J34" s="127">
        <v>0.48</v>
      </c>
      <c r="K34" s="134">
        <f>J34+0.5</f>
        <v>0.98</v>
      </c>
      <c r="L34" s="134">
        <v>0</v>
      </c>
      <c r="M34" s="136">
        <v>0.5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1023.65</v>
      </c>
      <c r="J35" s="140">
        <f>SUM(J22:J34)</f>
        <v>0.55000000000000004</v>
      </c>
      <c r="K35" s="141">
        <f>SUM(K20:K34)</f>
        <v>1.4</v>
      </c>
      <c r="L35" s="141">
        <f>SUM(L20:L34)</f>
        <v>0</v>
      </c>
      <c r="M35" s="139">
        <f>SUM(M20:M34)</f>
        <v>0.53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 t="s">
        <v>81</v>
      </c>
      <c r="C39" s="15"/>
      <c r="D39" s="4"/>
      <c r="E39" s="25"/>
      <c r="I39" s="13"/>
      <c r="K39" s="13"/>
      <c r="L39" s="13"/>
      <c r="M39" s="13"/>
    </row>
    <row r="40" spans="2:15" x14ac:dyDescent="0.25">
      <c r="B40" s="4" t="s">
        <v>82</v>
      </c>
      <c r="C40" s="15"/>
      <c r="E40" s="61"/>
      <c r="I40" s="13"/>
    </row>
    <row r="41" spans="2:15" x14ac:dyDescent="0.25">
      <c r="B41" s="4"/>
      <c r="E41" s="61"/>
      <c r="I41" s="13"/>
      <c r="L41" s="13"/>
    </row>
    <row r="43" spans="2:15" x14ac:dyDescent="0.25">
      <c r="B43" s="73"/>
    </row>
    <row r="50" spans="1:21" s="1" customFormat="1" x14ac:dyDescent="0.25">
      <c r="A50"/>
      <c r="B50"/>
      <c r="C50"/>
      <c r="D50"/>
      <c r="E50" s="1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4FEE-50B6-4342-B91C-A86608FAD33D}">
  <sheetPr>
    <tabColor theme="4" tint="0.59999389629810485"/>
  </sheetPr>
  <dimension ref="A1:U48"/>
  <sheetViews>
    <sheetView zoomScale="98" zoomScaleNormal="98" workbookViewId="0">
      <selection activeCell="F15" sqref="F15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50</v>
      </c>
      <c r="H2" s="21">
        <v>45266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14.488</v>
      </c>
      <c r="C6" s="5">
        <v>7.8310000000000004</v>
      </c>
      <c r="D6" s="6">
        <v>22.318999999999999</v>
      </c>
      <c r="E6" s="85">
        <f>B6+C6-D6</f>
        <v>0</v>
      </c>
      <c r="F6" s="7">
        <v>74</v>
      </c>
      <c r="G6" s="3">
        <f t="shared" ref="G6:G14" si="0">F6*0.05</f>
        <v>3.7</v>
      </c>
      <c r="H6" s="97">
        <f t="shared" ref="H6:H14" si="1">D6/G6</f>
        <v>6.0321621621621615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13.979200000000001</v>
      </c>
      <c r="C8" s="28">
        <v>23.453499999999998</v>
      </c>
      <c r="D8" s="29">
        <v>24</v>
      </c>
      <c r="E8" s="85">
        <f>B8+C8-D8</f>
        <v>13.432699999999997</v>
      </c>
      <c r="F8" s="7">
        <v>89</v>
      </c>
      <c r="G8" s="3">
        <f>F8*0.05</f>
        <v>4.45</v>
      </c>
      <c r="H8" s="97">
        <f t="shared" si="1"/>
        <v>5.393258426966292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12.744499999999995</v>
      </c>
      <c r="C9" s="28">
        <v>33.895499999999998</v>
      </c>
      <c r="D9" s="29">
        <v>3.3</v>
      </c>
      <c r="E9" s="85">
        <f>B9+C9-D9</f>
        <v>43.339999999999996</v>
      </c>
      <c r="F9" s="142">
        <v>16</v>
      </c>
      <c r="G9" s="3">
        <f t="shared" si="0"/>
        <v>0.8</v>
      </c>
      <c r="H9" s="97">
        <f t="shared" si="1"/>
        <v>4.1249999999999991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9.3134999999999994</v>
      </c>
      <c r="C12" s="30">
        <v>0</v>
      </c>
      <c r="D12" s="29">
        <v>9.3134999999999994</v>
      </c>
      <c r="E12" s="85">
        <f>B12+C12-D12</f>
        <v>0</v>
      </c>
      <c r="F12" s="142">
        <v>26</v>
      </c>
      <c r="G12" s="3">
        <f t="shared" si="0"/>
        <v>1.3</v>
      </c>
      <c r="H12" s="97">
        <f t="shared" si="1"/>
        <v>7.1642307692307687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5.5125000000000002</v>
      </c>
      <c r="C14" s="100">
        <v>5.0164999999999997</v>
      </c>
      <c r="D14" s="100">
        <v>10.529</v>
      </c>
      <c r="E14" s="101">
        <f t="shared" si="2"/>
        <v>0</v>
      </c>
      <c r="F14" s="143">
        <v>46</v>
      </c>
      <c r="G14" s="103">
        <f t="shared" si="0"/>
        <v>2.3000000000000003</v>
      </c>
      <c r="H14" s="104">
        <f t="shared" si="1"/>
        <v>4.577826086956521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23.5</v>
      </c>
      <c r="D20" s="2">
        <v>3.7</v>
      </c>
      <c r="E20" s="18">
        <v>0</v>
      </c>
      <c r="F20" s="47">
        <v>0</v>
      </c>
      <c r="G20" s="2">
        <f>C20+D20-E20+F20</f>
        <v>27.2</v>
      </c>
      <c r="H20" s="24">
        <v>0</v>
      </c>
      <c r="I20" s="17">
        <f t="shared" ref="I20:I32" si="3">G20-H20</f>
        <v>27.2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18.95</v>
      </c>
      <c r="D24" s="48">
        <v>1.5</v>
      </c>
      <c r="E24" s="49">
        <v>0</v>
      </c>
      <c r="F24" s="50">
        <v>0</v>
      </c>
      <c r="G24" s="48">
        <f t="shared" si="4"/>
        <v>20.45</v>
      </c>
      <c r="H24" s="51">
        <v>0</v>
      </c>
      <c r="I24" s="52">
        <f t="shared" si="3"/>
        <v>20.45</v>
      </c>
      <c r="J24" s="126">
        <v>0.17</v>
      </c>
      <c r="K24" s="134">
        <f>J24</f>
        <v>0.17</v>
      </c>
      <c r="L24" s="134">
        <v>0</v>
      </c>
      <c r="M24" s="136">
        <v>0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265.89999999999998</v>
      </c>
      <c r="D25" s="48">
        <v>0.6</v>
      </c>
      <c r="E25" s="49">
        <v>0</v>
      </c>
      <c r="F25" s="50">
        <v>0</v>
      </c>
      <c r="G25" s="48">
        <f t="shared" si="4"/>
        <v>266.5</v>
      </c>
      <c r="H25" s="51">
        <v>0</v>
      </c>
      <c r="I25" s="52">
        <f t="shared" si="3"/>
        <v>266.5</v>
      </c>
      <c r="J25" s="126">
        <v>0.13500000000000001</v>
      </c>
      <c r="K25" s="134">
        <f>J25+0.3+0.05+0.07</f>
        <v>0.55499999999999994</v>
      </c>
      <c r="L25" s="134">
        <v>0</v>
      </c>
      <c r="M25" s="136">
        <f>K25</f>
        <v>0.55499999999999994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83.15</v>
      </c>
      <c r="D26" s="2">
        <v>4.45</v>
      </c>
      <c r="E26" s="18">
        <v>0</v>
      </c>
      <c r="F26" s="47">
        <v>0</v>
      </c>
      <c r="G26" s="2">
        <f t="shared" si="4"/>
        <v>87.600000000000009</v>
      </c>
      <c r="H26" s="24">
        <v>0</v>
      </c>
      <c r="I26" s="17">
        <f t="shared" si="3"/>
        <v>87.600000000000009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210</v>
      </c>
      <c r="D27" s="2">
        <v>0</v>
      </c>
      <c r="E27" s="18">
        <v>0</v>
      </c>
      <c r="F27" s="47">
        <v>0</v>
      </c>
      <c r="G27" s="2">
        <f t="shared" si="4"/>
        <v>210</v>
      </c>
      <c r="H27" s="24">
        <v>0</v>
      </c>
      <c r="I27" s="17">
        <f t="shared" si="3"/>
        <v>210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ref="G28" si="5">C28+D28-E28+F28</f>
        <v>105</v>
      </c>
      <c r="H28" s="24">
        <v>0</v>
      </c>
      <c r="I28" s="17">
        <f t="shared" ref="I28" si="6">G28-H28</f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15.25</v>
      </c>
      <c r="D32" s="120">
        <v>1.3</v>
      </c>
      <c r="E32" s="121">
        <v>0</v>
      </c>
      <c r="F32" s="122">
        <v>0</v>
      </c>
      <c r="G32" s="120">
        <f t="shared" si="4"/>
        <v>16.55</v>
      </c>
      <c r="H32" s="123">
        <v>0</v>
      </c>
      <c r="I32" s="124">
        <f t="shared" si="3"/>
        <v>16.55</v>
      </c>
      <c r="J32" s="127">
        <v>0</v>
      </c>
      <c r="K32" s="134">
        <f>J32+0.5+0.48</f>
        <v>0.98</v>
      </c>
      <c r="L32" s="134">
        <v>0</v>
      </c>
      <c r="M32" s="136">
        <f>K32</f>
        <v>0.98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1035.2</v>
      </c>
      <c r="J33" s="140">
        <f>SUM(J22:J32)</f>
        <v>0.30500000000000005</v>
      </c>
      <c r="K33" s="141">
        <f>SUM(K20:K32)</f>
        <v>1.7050000000000001</v>
      </c>
      <c r="L33" s="141">
        <f>SUM(L20:L32)</f>
        <v>0</v>
      </c>
      <c r="M33" s="139">
        <f>SUM(M20:M32)</f>
        <v>1.5349999999999999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85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/>
      <c r="C38" s="15"/>
      <c r="E38" s="61"/>
      <c r="I38" s="13"/>
    </row>
    <row r="39" spans="1:21" x14ac:dyDescent="0.25">
      <c r="B39" s="4"/>
      <c r="E39" s="61"/>
      <c r="I39" s="13"/>
      <c r="L39" s="13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6DE5-6A53-46BA-A7AF-A67F6409E690}">
  <sheetPr>
    <tabColor theme="4" tint="0.59999389629810485"/>
  </sheetPr>
  <dimension ref="A1:U48"/>
  <sheetViews>
    <sheetView zoomScale="98" zoomScaleNormal="98" workbookViewId="0">
      <selection activeCell="F13" sqref="F13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51</v>
      </c>
      <c r="H2" s="21">
        <v>45267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13.428000000000001</v>
      </c>
      <c r="D6" s="6">
        <v>0</v>
      </c>
      <c r="E6" s="85">
        <f>B6+C6-D6</f>
        <v>13.428000000000001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13.432700000000001</v>
      </c>
      <c r="C8" s="28">
        <v>15.004</v>
      </c>
      <c r="D8" s="29">
        <v>20</v>
      </c>
      <c r="E8" s="85">
        <f>B8+C8-D8</f>
        <v>8.4367000000000019</v>
      </c>
      <c r="F8" s="7">
        <v>78</v>
      </c>
      <c r="G8" s="3">
        <f>F8*0.05</f>
        <v>3.9000000000000004</v>
      </c>
      <c r="H8" s="97">
        <f t="shared" si="1"/>
        <v>5.1282051282051277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43.339999999999996</v>
      </c>
      <c r="C9" s="28">
        <v>7.7934999999999999</v>
      </c>
      <c r="D9" s="29">
        <v>15</v>
      </c>
      <c r="E9" s="85">
        <f>B9+C9-D9</f>
        <v>36.133499999999998</v>
      </c>
      <c r="F9" s="142">
        <v>70</v>
      </c>
      <c r="G9" s="3">
        <f t="shared" si="0"/>
        <v>3.5</v>
      </c>
      <c r="H9" s="97">
        <f t="shared" si="1"/>
        <v>4.2857142857142856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4.0164999999999997</v>
      </c>
      <c r="D14" s="100">
        <v>0</v>
      </c>
      <c r="E14" s="101">
        <f t="shared" si="2"/>
        <v>4.0164999999999997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27.2</v>
      </c>
      <c r="D20" s="2">
        <v>0</v>
      </c>
      <c r="E20" s="18">
        <v>0</v>
      </c>
      <c r="F20" s="47">
        <v>0</v>
      </c>
      <c r="G20" s="2">
        <f>C20+D20-E20+F20</f>
        <v>27.2</v>
      </c>
      <c r="H20" s="24">
        <v>0</v>
      </c>
      <c r="I20" s="17">
        <f t="shared" ref="I20:I32" si="3">G20-H20</f>
        <v>27.2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20.45</v>
      </c>
      <c r="D24" s="48">
        <v>0</v>
      </c>
      <c r="E24" s="49">
        <v>0</v>
      </c>
      <c r="F24" s="50">
        <v>0</v>
      </c>
      <c r="G24" s="48">
        <f t="shared" si="4"/>
        <v>20.45</v>
      </c>
      <c r="H24" s="51">
        <v>0</v>
      </c>
      <c r="I24" s="52">
        <f t="shared" si="3"/>
        <v>20.45</v>
      </c>
      <c r="J24" s="126">
        <v>0</v>
      </c>
      <c r="K24" s="134">
        <f>J24+0.17</f>
        <v>0.17</v>
      </c>
      <c r="L24" s="134">
        <v>0</v>
      </c>
      <c r="M24" s="136">
        <f>K24</f>
        <v>0.17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266.5</v>
      </c>
      <c r="D25" s="48">
        <v>2.7</v>
      </c>
      <c r="E25" s="49">
        <v>0</v>
      </c>
      <c r="F25" s="50">
        <v>0</v>
      </c>
      <c r="G25" s="48">
        <f t="shared" si="4"/>
        <v>269.2</v>
      </c>
      <c r="H25" s="51">
        <v>0</v>
      </c>
      <c r="I25" s="52">
        <f t="shared" si="3"/>
        <v>269.2</v>
      </c>
      <c r="J25" s="126">
        <v>3.5000000000000003E-2</v>
      </c>
      <c r="K25" s="134">
        <f>J25+0.3+0.05+0.07+0.135</f>
        <v>0.59</v>
      </c>
      <c r="L25" s="134">
        <v>0</v>
      </c>
      <c r="M25" s="136">
        <f>K25</f>
        <v>0.59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87.600000000000009</v>
      </c>
      <c r="D26" s="2">
        <v>3.9</v>
      </c>
      <c r="E26" s="18">
        <v>0</v>
      </c>
      <c r="F26" s="47">
        <v>0</v>
      </c>
      <c r="G26" s="2">
        <f t="shared" si="4"/>
        <v>91.500000000000014</v>
      </c>
      <c r="H26" s="24">
        <v>0</v>
      </c>
      <c r="I26" s="17">
        <f t="shared" si="3"/>
        <v>91.500000000000014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210</v>
      </c>
      <c r="D27" s="2">
        <v>0</v>
      </c>
      <c r="E27" s="18">
        <v>0</v>
      </c>
      <c r="F27" s="47">
        <v>0</v>
      </c>
      <c r="G27" s="2">
        <f t="shared" si="4"/>
        <v>210</v>
      </c>
      <c r="H27" s="24">
        <v>0</v>
      </c>
      <c r="I27" s="17">
        <f t="shared" si="3"/>
        <v>210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16.55</v>
      </c>
      <c r="D32" s="120">
        <v>0</v>
      </c>
      <c r="E32" s="121">
        <v>0</v>
      </c>
      <c r="F32" s="122">
        <v>0</v>
      </c>
      <c r="G32" s="120">
        <f t="shared" si="4"/>
        <v>16.55</v>
      </c>
      <c r="H32" s="123">
        <v>0</v>
      </c>
      <c r="I32" s="124">
        <f t="shared" si="3"/>
        <v>16.55</v>
      </c>
      <c r="J32" s="127">
        <v>0</v>
      </c>
      <c r="K32" s="134">
        <f>J32+0.5+0.48</f>
        <v>0.98</v>
      </c>
      <c r="L32" s="134">
        <v>0</v>
      </c>
      <c r="M32" s="136">
        <f>K32</f>
        <v>0.98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1041.8</v>
      </c>
      <c r="J33" s="140">
        <f>SUM(J22:J32)</f>
        <v>3.5000000000000003E-2</v>
      </c>
      <c r="K33" s="141">
        <f>SUM(K20:K32)</f>
        <v>1.74</v>
      </c>
      <c r="L33" s="141">
        <f>SUM(L20:L32)</f>
        <v>0</v>
      </c>
      <c r="M33" s="139">
        <f>SUM(M20:M32)</f>
        <v>1.74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86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 t="s">
        <v>87</v>
      </c>
      <c r="C38" s="15"/>
      <c r="E38" s="61"/>
      <c r="I38" s="13"/>
    </row>
    <row r="39" spans="1:21" x14ac:dyDescent="0.25">
      <c r="B39" s="4"/>
      <c r="E39" s="61"/>
      <c r="I39" s="13"/>
      <c r="L39" s="13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8B8-E7DF-4F8B-912F-F1B3EDFDA1F0}">
  <sheetPr>
    <tabColor theme="4" tint="0.59999389629810485"/>
  </sheetPr>
  <dimension ref="A1:U48"/>
  <sheetViews>
    <sheetView zoomScale="98" zoomScaleNormal="98" workbookViewId="0">
      <selection activeCell="G2" sqref="G2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52</v>
      </c>
      <c r="H2" s="21">
        <v>45268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13.428000000000001</v>
      </c>
      <c r="C6" s="5">
        <v>0</v>
      </c>
      <c r="D6" s="6">
        <v>0</v>
      </c>
      <c r="E6" s="85">
        <f>B6+C6-D6</f>
        <v>13.428000000000001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8.4367000000000019</v>
      </c>
      <c r="C8" s="28">
        <v>0</v>
      </c>
      <c r="D8" s="29">
        <v>0</v>
      </c>
      <c r="E8" s="85">
        <f>B8+C8-D8</f>
        <v>8.4367000000000019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36.133499999999998</v>
      </c>
      <c r="C9" s="28">
        <v>0</v>
      </c>
      <c r="D9" s="29">
        <v>0</v>
      </c>
      <c r="E9" s="85">
        <f>B9+C9-D9</f>
        <v>36.133499999999998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4.0164999999999997</v>
      </c>
      <c r="C14" s="100">
        <v>0</v>
      </c>
      <c r="D14" s="100">
        <v>0</v>
      </c>
      <c r="E14" s="101">
        <f t="shared" si="2"/>
        <v>4.0164999999999997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27.2</v>
      </c>
      <c r="D20" s="2">
        <v>0</v>
      </c>
      <c r="E20" s="18">
        <v>0</v>
      </c>
      <c r="F20" s="47">
        <v>0</v>
      </c>
      <c r="G20" s="2">
        <f>C20+D20-E20+F20</f>
        <v>27.2</v>
      </c>
      <c r="H20" s="24">
        <v>0</v>
      </c>
      <c r="I20" s="17">
        <f t="shared" ref="I20:I32" si="3">G20-H20</f>
        <v>27.2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20.45</v>
      </c>
      <c r="D24" s="48">
        <v>0</v>
      </c>
      <c r="E24" s="49">
        <v>0</v>
      </c>
      <c r="F24" s="50">
        <v>0</v>
      </c>
      <c r="G24" s="48">
        <f t="shared" si="4"/>
        <v>20.45</v>
      </c>
      <c r="H24" s="51">
        <v>0</v>
      </c>
      <c r="I24" s="52">
        <f t="shared" si="3"/>
        <v>20.45</v>
      </c>
      <c r="J24" s="126">
        <v>0</v>
      </c>
      <c r="K24" s="134">
        <f>J24+0.17</f>
        <v>0.17</v>
      </c>
      <c r="L24" s="134">
        <v>0</v>
      </c>
      <c r="M24" s="136">
        <f>K24</f>
        <v>0.17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269.2</v>
      </c>
      <c r="D25" s="48">
        <v>0</v>
      </c>
      <c r="E25" s="49">
        <v>0</v>
      </c>
      <c r="F25" s="50">
        <v>0</v>
      </c>
      <c r="G25" s="48">
        <f t="shared" si="4"/>
        <v>269.2</v>
      </c>
      <c r="H25" s="51">
        <v>0</v>
      </c>
      <c r="I25" s="52">
        <f t="shared" si="3"/>
        <v>269.2</v>
      </c>
      <c r="J25" s="126">
        <v>0</v>
      </c>
      <c r="K25" s="134">
        <f>J25+0.3+0.05+0.07+0.135+0.035</f>
        <v>0.59</v>
      </c>
      <c r="L25" s="134">
        <v>0</v>
      </c>
      <c r="M25" s="136">
        <f>K25</f>
        <v>0.59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91.500000000000014</v>
      </c>
      <c r="D26" s="2">
        <v>0</v>
      </c>
      <c r="E26" s="18">
        <v>0</v>
      </c>
      <c r="F26" s="47">
        <v>0</v>
      </c>
      <c r="G26" s="2">
        <f t="shared" si="4"/>
        <v>91.500000000000014</v>
      </c>
      <c r="H26" s="24">
        <v>0</v>
      </c>
      <c r="I26" s="17">
        <f t="shared" si="3"/>
        <v>91.500000000000014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210</v>
      </c>
      <c r="D27" s="2">
        <v>0</v>
      </c>
      <c r="E27" s="18">
        <v>0</v>
      </c>
      <c r="F27" s="47">
        <v>0</v>
      </c>
      <c r="G27" s="2">
        <f t="shared" si="4"/>
        <v>210</v>
      </c>
      <c r="H27" s="24">
        <v>0</v>
      </c>
      <c r="I27" s="17">
        <f t="shared" si="3"/>
        <v>210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16.55</v>
      </c>
      <c r="D32" s="120">
        <v>0</v>
      </c>
      <c r="E32" s="121">
        <v>0</v>
      </c>
      <c r="F32" s="122">
        <v>0</v>
      </c>
      <c r="G32" s="120">
        <f t="shared" si="4"/>
        <v>16.55</v>
      </c>
      <c r="H32" s="123">
        <v>0</v>
      </c>
      <c r="I32" s="124">
        <f t="shared" si="3"/>
        <v>16.55</v>
      </c>
      <c r="J32" s="127">
        <v>0</v>
      </c>
      <c r="K32" s="134">
        <f>J32+0.5+0.48</f>
        <v>0.98</v>
      </c>
      <c r="L32" s="134">
        <v>0</v>
      </c>
      <c r="M32" s="136">
        <f>K32</f>
        <v>0.98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1041.8</v>
      </c>
      <c r="J33" s="140">
        <f>SUM(J22:J32)</f>
        <v>0</v>
      </c>
      <c r="K33" s="141">
        <f>SUM(K20:K32)</f>
        <v>1.74</v>
      </c>
      <c r="L33" s="141">
        <f>SUM(L20:L32)</f>
        <v>0</v>
      </c>
      <c r="M33" s="139">
        <f>SUM(M20:M32)</f>
        <v>1.74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88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 t="s">
        <v>89</v>
      </c>
      <c r="C38" s="15"/>
      <c r="E38" s="61"/>
      <c r="I38" s="13"/>
    </row>
    <row r="39" spans="1:21" x14ac:dyDescent="0.25">
      <c r="B39" s="4"/>
      <c r="E39" s="61"/>
      <c r="I39" s="13"/>
      <c r="L39" s="13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EAB9-C89F-4084-B166-CD8113B95682}">
  <sheetPr>
    <tabColor theme="4" tint="0.59999389629810485"/>
  </sheetPr>
  <dimension ref="A1:U48"/>
  <sheetViews>
    <sheetView zoomScale="98" zoomScaleNormal="98" workbookViewId="0">
      <selection activeCell="H2" sqref="H2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57</v>
      </c>
      <c r="H2" s="21">
        <v>45269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13.428000000000001</v>
      </c>
      <c r="C6" s="5">
        <v>0</v>
      </c>
      <c r="D6" s="6">
        <v>0</v>
      </c>
      <c r="E6" s="85">
        <f>B6+C6-D6</f>
        <v>13.428000000000001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8.4367000000000019</v>
      </c>
      <c r="C8" s="28">
        <v>0</v>
      </c>
      <c r="D8" s="29">
        <v>0</v>
      </c>
      <c r="E8" s="85">
        <f>B8+C8-D8</f>
        <v>8.4367000000000019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36.133499999999998</v>
      </c>
      <c r="C9" s="28">
        <v>0</v>
      </c>
      <c r="D9" s="29">
        <v>0</v>
      </c>
      <c r="E9" s="85">
        <f>B9+C9-D9</f>
        <v>36.133499999999998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4.0164999999999997</v>
      </c>
      <c r="C14" s="100">
        <v>0</v>
      </c>
      <c r="D14" s="100">
        <v>0</v>
      </c>
      <c r="E14" s="101">
        <f t="shared" si="2"/>
        <v>4.0164999999999997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27.2</v>
      </c>
      <c r="D20" s="2">
        <v>0</v>
      </c>
      <c r="E20" s="18">
        <v>0</v>
      </c>
      <c r="F20" s="47">
        <v>0</v>
      </c>
      <c r="G20" s="2">
        <f>C20+D20-E20+F20</f>
        <v>27.2</v>
      </c>
      <c r="H20" s="24">
        <v>0</v>
      </c>
      <c r="I20" s="17">
        <f t="shared" ref="I20:I32" si="3">G20-H20</f>
        <v>27.2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20.45</v>
      </c>
      <c r="D24" s="48">
        <v>0</v>
      </c>
      <c r="E24" s="49">
        <v>0</v>
      </c>
      <c r="F24" s="50">
        <v>0</v>
      </c>
      <c r="G24" s="48">
        <f t="shared" si="4"/>
        <v>20.45</v>
      </c>
      <c r="H24" s="51">
        <v>0</v>
      </c>
      <c r="I24" s="52">
        <f t="shared" si="3"/>
        <v>20.45</v>
      </c>
      <c r="J24" s="126">
        <v>0</v>
      </c>
      <c r="K24" s="134">
        <f>J24+0.17</f>
        <v>0.17</v>
      </c>
      <c r="L24" s="134">
        <v>0</v>
      </c>
      <c r="M24" s="136">
        <f>K24</f>
        <v>0.17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269.2</v>
      </c>
      <c r="D25" s="48">
        <v>0</v>
      </c>
      <c r="E25" s="49">
        <v>0</v>
      </c>
      <c r="F25" s="50">
        <v>0</v>
      </c>
      <c r="G25" s="48">
        <f t="shared" si="4"/>
        <v>269.2</v>
      </c>
      <c r="H25" s="51">
        <v>0</v>
      </c>
      <c r="I25" s="52">
        <f t="shared" si="3"/>
        <v>269.2</v>
      </c>
      <c r="J25" s="126">
        <v>0</v>
      </c>
      <c r="K25" s="134">
        <f>J25+0.3+0.05+0.07+0.135+0.035</f>
        <v>0.59</v>
      </c>
      <c r="L25" s="134">
        <v>0</v>
      </c>
      <c r="M25" s="136">
        <f>K25</f>
        <v>0.59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91.500000000000014</v>
      </c>
      <c r="D26" s="2">
        <v>0</v>
      </c>
      <c r="E26" s="18">
        <v>0</v>
      </c>
      <c r="F26" s="47">
        <v>0</v>
      </c>
      <c r="G26" s="2">
        <f t="shared" si="4"/>
        <v>91.500000000000014</v>
      </c>
      <c r="H26" s="24">
        <v>0</v>
      </c>
      <c r="I26" s="17">
        <f t="shared" si="3"/>
        <v>91.500000000000014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210</v>
      </c>
      <c r="D27" s="2">
        <v>0</v>
      </c>
      <c r="E27" s="18">
        <v>0</v>
      </c>
      <c r="F27" s="47">
        <v>0</v>
      </c>
      <c r="G27" s="2">
        <f t="shared" si="4"/>
        <v>210</v>
      </c>
      <c r="H27" s="24">
        <v>0</v>
      </c>
      <c r="I27" s="17">
        <f t="shared" si="3"/>
        <v>210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16.55</v>
      </c>
      <c r="D32" s="120">
        <v>0</v>
      </c>
      <c r="E32" s="121">
        <v>0</v>
      </c>
      <c r="F32" s="122">
        <v>0</v>
      </c>
      <c r="G32" s="120">
        <f t="shared" si="4"/>
        <v>16.55</v>
      </c>
      <c r="H32" s="123">
        <v>0</v>
      </c>
      <c r="I32" s="124">
        <f t="shared" si="3"/>
        <v>16.55</v>
      </c>
      <c r="J32" s="127">
        <v>0</v>
      </c>
      <c r="K32" s="134">
        <f>J32+0.5+0.48</f>
        <v>0.98</v>
      </c>
      <c r="L32" s="134">
        <v>0</v>
      </c>
      <c r="M32" s="136">
        <f>K32</f>
        <v>0.98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1041.8</v>
      </c>
      <c r="J33" s="140">
        <f>SUM(J22:J32)</f>
        <v>0</v>
      </c>
      <c r="K33" s="141">
        <f>SUM(K20:K32)</f>
        <v>1.74</v>
      </c>
      <c r="L33" s="141">
        <f>SUM(L20:L32)</f>
        <v>0</v>
      </c>
      <c r="M33" s="139">
        <f>SUM(M20:M32)</f>
        <v>1.74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/>
      <c r="C37" s="15"/>
      <c r="D37" s="4"/>
      <c r="E37" s="25"/>
      <c r="I37" s="13"/>
      <c r="K37" s="13"/>
      <c r="L37" s="13"/>
      <c r="M37" s="13"/>
    </row>
    <row r="38" spans="1:21" x14ac:dyDescent="0.25">
      <c r="B38" s="4"/>
      <c r="C38" s="15"/>
      <c r="E38" s="61"/>
      <c r="I38" s="13"/>
    </row>
    <row r="39" spans="1:21" x14ac:dyDescent="0.25">
      <c r="B39" s="4"/>
      <c r="E39" s="61"/>
      <c r="I39" s="13"/>
      <c r="L39" s="13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FA7F-0664-4DBD-A589-6086512C36BB}">
  <sheetPr>
    <tabColor theme="4" tint="0.59999389629810485"/>
  </sheetPr>
  <dimension ref="A1:U57"/>
  <sheetViews>
    <sheetView zoomScale="98" zoomScaleNormal="98" workbookViewId="0">
      <selection activeCell="F10" sqref="F10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57</v>
      </c>
      <c r="H2" s="21">
        <v>45234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1.4695</v>
      </c>
      <c r="C6" s="5">
        <v>4.6369999999999996</v>
      </c>
      <c r="D6" s="6">
        <v>6.1064999999999996</v>
      </c>
      <c r="E6" s="85">
        <f>B6+C6-D6</f>
        <v>0</v>
      </c>
      <c r="F6" s="7">
        <v>15</v>
      </c>
      <c r="G6" s="3">
        <f t="shared" ref="G6:G14" si="0">F6*0.05</f>
        <v>0.75</v>
      </c>
      <c r="H6" s="97">
        <f t="shared" ref="H6:H14" si="1">D6/G6</f>
        <v>8.1419999999999995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15.343500000000001</v>
      </c>
      <c r="C8" s="28">
        <v>5.0754999999999999</v>
      </c>
      <c r="D8" s="29">
        <v>20.419</v>
      </c>
      <c r="E8" s="85">
        <f>B8+C8-D8</f>
        <v>0</v>
      </c>
      <c r="F8" s="7">
        <v>91</v>
      </c>
      <c r="G8" s="3">
        <f>F8*0.05</f>
        <v>4.55</v>
      </c>
      <c r="H8" s="97">
        <f t="shared" si="1"/>
        <v>4.4876923076923081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10.450999999999901</v>
      </c>
      <c r="C9" s="28">
        <v>28.6785</v>
      </c>
      <c r="D9" s="29">
        <v>16.5</v>
      </c>
      <c r="E9" s="85">
        <f>B9+C9-D9</f>
        <v>22.629499999999901</v>
      </c>
      <c r="F9" s="142">
        <v>82</v>
      </c>
      <c r="G9" s="3">
        <f t="shared" si="0"/>
        <v>4.1000000000000005</v>
      </c>
      <c r="H9" s="97">
        <f t="shared" si="1"/>
        <v>4.0243902439024382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02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26"/>
      <c r="H15" s="27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26"/>
      <c r="H16" s="27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15.75</v>
      </c>
      <c r="D20" s="2">
        <v>0.75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9.0500000000000007</v>
      </c>
      <c r="D24" s="48">
        <v>0</v>
      </c>
      <c r="E24" s="49">
        <v>0</v>
      </c>
      <c r="F24" s="50">
        <v>0</v>
      </c>
      <c r="G24" s="48">
        <f t="shared" si="4"/>
        <v>9.0500000000000007</v>
      </c>
      <c r="H24" s="51">
        <v>0</v>
      </c>
      <c r="I24" s="52">
        <f t="shared" si="3"/>
        <v>9.0500000000000007</v>
      </c>
      <c r="J24" s="126">
        <v>0</v>
      </c>
      <c r="K24" s="134">
        <f>J24+0.15+0.07+0.1+0.12</f>
        <v>0.44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141.5</v>
      </c>
      <c r="D25" s="48">
        <v>3.35</v>
      </c>
      <c r="E25" s="49">
        <v>0</v>
      </c>
      <c r="F25" s="50">
        <v>0</v>
      </c>
      <c r="G25" s="48">
        <f t="shared" si="4"/>
        <v>144.85</v>
      </c>
      <c r="H25" s="51">
        <v>0</v>
      </c>
      <c r="I25" s="52">
        <f t="shared" si="3"/>
        <v>144.85</v>
      </c>
      <c r="J25" s="126">
        <v>0.03</v>
      </c>
      <c r="K25" s="134">
        <f>J25+0.08+0.09+0.06+0.02+0.08+0.05+0</f>
        <v>0.41000000000000003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121.75</v>
      </c>
      <c r="D26" s="2">
        <v>4.55</v>
      </c>
      <c r="E26" s="18">
        <v>0</v>
      </c>
      <c r="F26" s="47">
        <v>0</v>
      </c>
      <c r="G26" s="2">
        <f t="shared" si="4"/>
        <v>126.3</v>
      </c>
      <c r="H26" s="24">
        <v>0</v>
      </c>
      <c r="I26" s="17">
        <f t="shared" si="3"/>
        <v>126.3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885.95</v>
      </c>
      <c r="J35" s="140">
        <f>SUM(J22:J34)</f>
        <v>0.03</v>
      </c>
      <c r="K35" s="141">
        <f>SUM(K20:K34)</f>
        <v>0.85000000000000009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B1A94-219C-4408-ACE5-3BF60B336F7C}">
  <sheetPr>
    <tabColor theme="4" tint="0.59999389629810485"/>
  </sheetPr>
  <dimension ref="A1:U48"/>
  <sheetViews>
    <sheetView zoomScale="98" zoomScaleNormal="98" workbookViewId="0">
      <selection activeCell="G17" sqref="G17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90</v>
      </c>
      <c r="H2" s="21">
        <v>45270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13.428000000000001</v>
      </c>
      <c r="C6" s="5">
        <v>0</v>
      </c>
      <c r="D6" s="6">
        <v>0</v>
      </c>
      <c r="E6" s="85">
        <f>B6+C6-D6</f>
        <v>13.428000000000001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8.4367000000000019</v>
      </c>
      <c r="C8" s="28">
        <v>0</v>
      </c>
      <c r="D8" s="29">
        <v>0</v>
      </c>
      <c r="E8" s="85">
        <f>B8+C8-D8</f>
        <v>8.4367000000000019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36.133499999999998</v>
      </c>
      <c r="C9" s="28">
        <v>0</v>
      </c>
      <c r="D9" s="29">
        <v>0</v>
      </c>
      <c r="E9" s="85">
        <f>B9+C9-D9</f>
        <v>36.133499999999998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4.0164999999999997</v>
      </c>
      <c r="C14" s="100">
        <v>0</v>
      </c>
      <c r="D14" s="100">
        <v>0</v>
      </c>
      <c r="E14" s="101">
        <f t="shared" si="2"/>
        <v>4.0164999999999997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27.2</v>
      </c>
      <c r="D20" s="2">
        <v>0</v>
      </c>
      <c r="E20" s="18">
        <v>0</v>
      </c>
      <c r="F20" s="47">
        <v>0</v>
      </c>
      <c r="G20" s="2">
        <f>C20+D20-E20+F20</f>
        <v>27.2</v>
      </c>
      <c r="H20" s="24">
        <v>0</v>
      </c>
      <c r="I20" s="17">
        <f t="shared" ref="I20:I32" si="3">G20-H20</f>
        <v>27.2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20.45</v>
      </c>
      <c r="D24" s="48">
        <v>0</v>
      </c>
      <c r="E24" s="49">
        <v>0</v>
      </c>
      <c r="F24" s="50">
        <v>0</v>
      </c>
      <c r="G24" s="48">
        <f t="shared" si="4"/>
        <v>20.45</v>
      </c>
      <c r="H24" s="51">
        <v>0</v>
      </c>
      <c r="I24" s="52">
        <f t="shared" si="3"/>
        <v>20.45</v>
      </c>
      <c r="J24" s="126">
        <v>0</v>
      </c>
      <c r="K24" s="134">
        <f>J24+0.17</f>
        <v>0.17</v>
      </c>
      <c r="L24" s="134">
        <v>0</v>
      </c>
      <c r="M24" s="136">
        <f>K24</f>
        <v>0.17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269.2</v>
      </c>
      <c r="D25" s="48">
        <v>0</v>
      </c>
      <c r="E25" s="49">
        <v>0</v>
      </c>
      <c r="F25" s="50">
        <v>0</v>
      </c>
      <c r="G25" s="48">
        <f t="shared" si="4"/>
        <v>269.2</v>
      </c>
      <c r="H25" s="51">
        <v>0</v>
      </c>
      <c r="I25" s="52">
        <f t="shared" si="3"/>
        <v>269.2</v>
      </c>
      <c r="J25" s="126">
        <v>0</v>
      </c>
      <c r="K25" s="134">
        <f>J25+0.3+0.05+0.07+0.135+0.035</f>
        <v>0.59</v>
      </c>
      <c r="L25" s="134">
        <v>0</v>
      </c>
      <c r="M25" s="136">
        <f>K25</f>
        <v>0.59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91.500000000000014</v>
      </c>
      <c r="D26" s="2">
        <v>0</v>
      </c>
      <c r="E26" s="18">
        <v>0</v>
      </c>
      <c r="F26" s="47">
        <v>0</v>
      </c>
      <c r="G26" s="2">
        <f t="shared" si="4"/>
        <v>91.500000000000014</v>
      </c>
      <c r="H26" s="24">
        <v>0</v>
      </c>
      <c r="I26" s="17">
        <f t="shared" si="3"/>
        <v>91.500000000000014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210</v>
      </c>
      <c r="D27" s="2">
        <v>0</v>
      </c>
      <c r="E27" s="18">
        <v>0</v>
      </c>
      <c r="F27" s="47">
        <v>0</v>
      </c>
      <c r="G27" s="2">
        <f t="shared" si="4"/>
        <v>210</v>
      </c>
      <c r="H27" s="24">
        <v>0</v>
      </c>
      <c r="I27" s="17">
        <f t="shared" si="3"/>
        <v>210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16.55</v>
      </c>
      <c r="D32" s="120">
        <v>0</v>
      </c>
      <c r="E32" s="121">
        <v>0</v>
      </c>
      <c r="F32" s="122">
        <v>0</v>
      </c>
      <c r="G32" s="120">
        <f t="shared" si="4"/>
        <v>16.55</v>
      </c>
      <c r="H32" s="123">
        <v>0</v>
      </c>
      <c r="I32" s="124">
        <f t="shared" si="3"/>
        <v>16.55</v>
      </c>
      <c r="J32" s="127">
        <v>0</v>
      </c>
      <c r="K32" s="134">
        <f>J32+0.5+0.48</f>
        <v>0.98</v>
      </c>
      <c r="L32" s="134">
        <v>0</v>
      </c>
      <c r="M32" s="136">
        <f>K32</f>
        <v>0.98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1041.8</v>
      </c>
      <c r="J33" s="140">
        <f>SUM(J22:J32)</f>
        <v>0</v>
      </c>
      <c r="K33" s="141">
        <f>SUM(K20:K32)</f>
        <v>1.74</v>
      </c>
      <c r="L33" s="141">
        <f>SUM(L20:L32)</f>
        <v>0</v>
      </c>
      <c r="M33" s="139">
        <f>SUM(M20:M32)</f>
        <v>1.74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/>
      <c r="C37" s="15"/>
      <c r="D37" s="4"/>
      <c r="E37" s="25"/>
      <c r="I37" s="13"/>
      <c r="K37" s="13"/>
      <c r="L37" s="13"/>
      <c r="M37" s="13"/>
    </row>
    <row r="38" spans="1:21" x14ac:dyDescent="0.25">
      <c r="B38" s="4"/>
      <c r="C38" s="15"/>
      <c r="E38" s="61"/>
      <c r="I38" s="13"/>
    </row>
    <row r="39" spans="1:21" x14ac:dyDescent="0.25">
      <c r="B39" s="4"/>
      <c r="E39" s="61"/>
      <c r="I39" s="13"/>
      <c r="L39" s="13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0357-26BA-4ABF-B546-EEC3E6C3E492}">
  <sheetPr>
    <tabColor theme="4" tint="0.59999389629810485"/>
  </sheetPr>
  <dimension ref="A1:U48"/>
  <sheetViews>
    <sheetView zoomScale="98" zoomScaleNormal="98" workbookViewId="0">
      <selection activeCell="J10" sqref="J10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59</v>
      </c>
      <c r="H2" s="21">
        <v>45271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13.428000000000001</v>
      </c>
      <c r="C6" s="5">
        <v>8.7249999999999996</v>
      </c>
      <c r="D6" s="6">
        <v>0</v>
      </c>
      <c r="E6" s="85">
        <f>B6+C6-D6</f>
        <v>22.152999999999999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8.4367000000000019</v>
      </c>
      <c r="C8" s="28">
        <v>37.005000000000003</v>
      </c>
      <c r="D8" s="29">
        <v>0</v>
      </c>
      <c r="E8" s="85">
        <f>B8+C8-D8</f>
        <v>45.441700000000004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36.133499999999998</v>
      </c>
      <c r="C9" s="28">
        <v>28.6325</v>
      </c>
      <c r="D9" s="29">
        <v>0</v>
      </c>
      <c r="E9" s="85">
        <f>B9+C9-D9</f>
        <v>64.765999999999991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6.7798999999999996</v>
      </c>
      <c r="D12" s="29">
        <v>0</v>
      </c>
      <c r="E12" s="85">
        <f>B12+C12-D12</f>
        <v>6.7798999999999996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4.0164999999999997</v>
      </c>
      <c r="C14" s="100">
        <v>5.0469999999999997</v>
      </c>
      <c r="D14" s="100">
        <v>0</v>
      </c>
      <c r="E14" s="101">
        <f t="shared" si="2"/>
        <v>9.0634999999999994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27.2</v>
      </c>
      <c r="D20" s="2">
        <v>0</v>
      </c>
      <c r="E20" s="18">
        <v>0</v>
      </c>
      <c r="F20" s="47">
        <v>0</v>
      </c>
      <c r="G20" s="2">
        <f>C20+D20-E20+F20</f>
        <v>27.2</v>
      </c>
      <c r="H20" s="24">
        <v>0</v>
      </c>
      <c r="I20" s="17">
        <f t="shared" ref="I20:I32" si="3">G20-H20</f>
        <v>27.2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20.45</v>
      </c>
      <c r="D24" s="48">
        <v>0</v>
      </c>
      <c r="E24" s="49">
        <v>0</v>
      </c>
      <c r="F24" s="50">
        <v>0</v>
      </c>
      <c r="G24" s="48">
        <f t="shared" si="4"/>
        <v>20.45</v>
      </c>
      <c r="H24" s="51">
        <v>0</v>
      </c>
      <c r="I24" s="52">
        <f t="shared" si="3"/>
        <v>20.45</v>
      </c>
      <c r="J24" s="126">
        <v>0</v>
      </c>
      <c r="K24" s="134">
        <f>J24+0.17</f>
        <v>0.17</v>
      </c>
      <c r="L24" s="134">
        <v>0</v>
      </c>
      <c r="M24" s="136">
        <f>K24</f>
        <v>0.17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269.2</v>
      </c>
      <c r="D25" s="48">
        <v>0</v>
      </c>
      <c r="E25" s="49">
        <v>0</v>
      </c>
      <c r="F25" s="50">
        <v>0</v>
      </c>
      <c r="G25" s="48">
        <f t="shared" si="4"/>
        <v>269.2</v>
      </c>
      <c r="H25" s="51">
        <v>0</v>
      </c>
      <c r="I25" s="52">
        <f t="shared" si="3"/>
        <v>269.2</v>
      </c>
      <c r="J25" s="126">
        <v>0</v>
      </c>
      <c r="K25" s="134">
        <f>J25+0.3+0.05+0.07+0.135+0.035</f>
        <v>0.59</v>
      </c>
      <c r="L25" s="134">
        <v>0</v>
      </c>
      <c r="M25" s="136">
        <f>K25</f>
        <v>0.59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91.500000000000014</v>
      </c>
      <c r="D26" s="2">
        <v>0</v>
      </c>
      <c r="E26" s="18">
        <v>0</v>
      </c>
      <c r="F26" s="47">
        <v>0</v>
      </c>
      <c r="G26" s="2">
        <f t="shared" si="4"/>
        <v>91.500000000000014</v>
      </c>
      <c r="H26" s="24">
        <v>0</v>
      </c>
      <c r="I26" s="17">
        <f t="shared" si="3"/>
        <v>91.500000000000014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210</v>
      </c>
      <c r="D27" s="2">
        <v>0</v>
      </c>
      <c r="E27" s="18">
        <v>0</v>
      </c>
      <c r="F27" s="47">
        <v>0</v>
      </c>
      <c r="G27" s="2">
        <f t="shared" si="4"/>
        <v>210</v>
      </c>
      <c r="H27" s="24">
        <v>0</v>
      </c>
      <c r="I27" s="17">
        <f t="shared" si="3"/>
        <v>210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16.55</v>
      </c>
      <c r="D32" s="120">
        <v>0</v>
      </c>
      <c r="E32" s="121">
        <v>0</v>
      </c>
      <c r="F32" s="122">
        <v>0</v>
      </c>
      <c r="G32" s="120">
        <f t="shared" si="4"/>
        <v>16.55</v>
      </c>
      <c r="H32" s="123">
        <v>0</v>
      </c>
      <c r="I32" s="124">
        <f t="shared" si="3"/>
        <v>16.55</v>
      </c>
      <c r="J32" s="127">
        <v>0</v>
      </c>
      <c r="K32" s="134">
        <f>J32+0.5+0.48</f>
        <v>0.98</v>
      </c>
      <c r="L32" s="134">
        <v>0</v>
      </c>
      <c r="M32" s="136">
        <f>K32</f>
        <v>0.98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1041.8</v>
      </c>
      <c r="J33" s="140">
        <f>SUM(J22:J32)</f>
        <v>0</v>
      </c>
      <c r="K33" s="141">
        <f>SUM(K20:K32)</f>
        <v>1.74</v>
      </c>
      <c r="L33" s="141">
        <f>SUM(L20:L32)</f>
        <v>0</v>
      </c>
      <c r="M33" s="139">
        <f>SUM(M20:M32)</f>
        <v>1.74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91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 t="s">
        <v>92</v>
      </c>
      <c r="C38" s="15"/>
      <c r="E38" s="61"/>
      <c r="I38" s="13"/>
    </row>
    <row r="39" spans="1:21" x14ac:dyDescent="0.25">
      <c r="B39" s="4" t="s">
        <v>93</v>
      </c>
      <c r="E39" s="61"/>
      <c r="I39" s="13"/>
      <c r="L39" s="13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A339-4CE6-4684-BD8D-BDAE1A28E8F7}">
  <sheetPr>
    <tabColor theme="4" tint="0.59999389629810485"/>
  </sheetPr>
  <dimension ref="A1:U48"/>
  <sheetViews>
    <sheetView zoomScale="98" zoomScaleNormal="98" workbookViewId="0">
      <selection activeCell="F8" sqref="F8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61</v>
      </c>
      <c r="H2" s="21">
        <v>45272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22.152999999999999</v>
      </c>
      <c r="C6" s="5">
        <v>25.470500000000001</v>
      </c>
      <c r="D6" s="6">
        <v>47.6235</v>
      </c>
      <c r="E6" s="85">
        <f>B6+C6-D6</f>
        <v>0</v>
      </c>
      <c r="F6" s="7">
        <v>101</v>
      </c>
      <c r="G6" s="3">
        <f t="shared" ref="G6:G14" si="0">F6*0.05</f>
        <v>5.0500000000000007</v>
      </c>
      <c r="H6" s="97">
        <f t="shared" ref="H6:H14" si="1">D6/G6</f>
        <v>9.4303960396039592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45.441700000000004</v>
      </c>
      <c r="C8" s="28">
        <v>5.4470000000000001</v>
      </c>
      <c r="D8" s="29">
        <v>14</v>
      </c>
      <c r="E8" s="85">
        <f>B8+C8-D8-12</f>
        <v>24.888700000000007</v>
      </c>
      <c r="F8" s="7">
        <v>34</v>
      </c>
      <c r="G8" s="3">
        <f>F8*0.05</f>
        <v>1.7000000000000002</v>
      </c>
      <c r="H8" s="97">
        <f t="shared" si="1"/>
        <v>8.235294117647058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64.765999999999991</v>
      </c>
      <c r="C9" s="28">
        <v>3.7284999999999999</v>
      </c>
      <c r="D9" s="29">
        <v>0</v>
      </c>
      <c r="E9" s="85">
        <f>B9+C9-D9-14</f>
        <v>54.494499999999988</v>
      </c>
      <c r="F9" s="142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6.7798999999999996</v>
      </c>
      <c r="C12" s="30">
        <v>0</v>
      </c>
      <c r="D12" s="29">
        <v>6.7798999999999996</v>
      </c>
      <c r="E12" s="85">
        <f>B12+C12-D12</f>
        <v>0</v>
      </c>
      <c r="F12" s="142">
        <v>30</v>
      </c>
      <c r="G12" s="3">
        <f t="shared" si="0"/>
        <v>1.5</v>
      </c>
      <c r="H12" s="97">
        <f t="shared" si="1"/>
        <v>4.5199333333333334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9.0634999999999994</v>
      </c>
      <c r="C14" s="100">
        <v>5.0795000000000003</v>
      </c>
      <c r="D14" s="100">
        <v>9</v>
      </c>
      <c r="E14" s="101">
        <f t="shared" si="2"/>
        <v>5.1430000000000007</v>
      </c>
      <c r="F14" s="143">
        <v>42</v>
      </c>
      <c r="G14" s="103">
        <f t="shared" si="0"/>
        <v>2.1</v>
      </c>
      <c r="H14" s="104">
        <f t="shared" si="1"/>
        <v>4.2857142857142856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27.2</v>
      </c>
      <c r="D20" s="2">
        <v>5.05</v>
      </c>
      <c r="E20" s="18">
        <v>0</v>
      </c>
      <c r="F20" s="47">
        <v>0</v>
      </c>
      <c r="G20" s="2">
        <f>C20+D20-E20+F20</f>
        <v>32.25</v>
      </c>
      <c r="H20" s="24">
        <v>0</v>
      </c>
      <c r="I20" s="17">
        <f t="shared" ref="I20:I32" si="3">G20-H20</f>
        <v>32.25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20.45</v>
      </c>
      <c r="D24" s="48">
        <v>1.05</v>
      </c>
      <c r="E24" s="49">
        <v>0</v>
      </c>
      <c r="F24" s="50">
        <v>0</v>
      </c>
      <c r="G24" s="48">
        <f t="shared" si="4"/>
        <v>21.5</v>
      </c>
      <c r="H24" s="51">
        <v>0</v>
      </c>
      <c r="I24" s="52">
        <f t="shared" si="3"/>
        <v>21.5</v>
      </c>
      <c r="J24" s="126">
        <v>0.13</v>
      </c>
      <c r="K24" s="134">
        <f>J24+0.17</f>
        <v>0.30000000000000004</v>
      </c>
      <c r="L24" s="134">
        <v>0</v>
      </c>
      <c r="M24" s="136">
        <f>K24</f>
        <v>0.30000000000000004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269.2</v>
      </c>
      <c r="D25" s="48">
        <v>0</v>
      </c>
      <c r="E25" s="49">
        <v>0</v>
      </c>
      <c r="F25" s="50">
        <v>0</v>
      </c>
      <c r="G25" s="48">
        <f t="shared" si="4"/>
        <v>269.2</v>
      </c>
      <c r="H25" s="51">
        <v>0</v>
      </c>
      <c r="I25" s="52">
        <f t="shared" si="3"/>
        <v>269.2</v>
      </c>
      <c r="J25" s="126">
        <v>0.02</v>
      </c>
      <c r="K25" s="134">
        <f>J25+0.3+0.05+0.07+0.135+0.035</f>
        <v>0.61</v>
      </c>
      <c r="L25" s="134">
        <v>0</v>
      </c>
      <c r="M25" s="136">
        <f>K25</f>
        <v>0.61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91.500000000000014</v>
      </c>
      <c r="D26" s="2">
        <v>1.7</v>
      </c>
      <c r="E26" s="18">
        <v>50</v>
      </c>
      <c r="F26" s="47">
        <v>0</v>
      </c>
      <c r="G26" s="2">
        <f t="shared" si="4"/>
        <v>43.200000000000017</v>
      </c>
      <c r="H26" s="24">
        <v>0</v>
      </c>
      <c r="I26" s="17">
        <f t="shared" si="3"/>
        <v>43.200000000000017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210</v>
      </c>
      <c r="D27" s="2">
        <v>0</v>
      </c>
      <c r="E27" s="18">
        <v>52.5</v>
      </c>
      <c r="F27" s="47">
        <v>0</v>
      </c>
      <c r="G27" s="2">
        <f t="shared" si="4"/>
        <v>157.5</v>
      </c>
      <c r="H27" s="24">
        <v>0</v>
      </c>
      <c r="I27" s="17">
        <f t="shared" si="3"/>
        <v>157.5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16.55</v>
      </c>
      <c r="D32" s="120">
        <v>0.75</v>
      </c>
      <c r="E32" s="121">
        <v>0</v>
      </c>
      <c r="F32" s="122">
        <v>0</v>
      </c>
      <c r="G32" s="120">
        <f t="shared" si="4"/>
        <v>17.3</v>
      </c>
      <c r="H32" s="123">
        <v>0</v>
      </c>
      <c r="I32" s="124">
        <f t="shared" si="3"/>
        <v>17.3</v>
      </c>
      <c r="J32" s="127">
        <v>0.2</v>
      </c>
      <c r="K32" s="134">
        <f>J32+0.5+0.48</f>
        <v>1.18</v>
      </c>
      <c r="L32" s="134">
        <v>0</v>
      </c>
      <c r="M32" s="136">
        <f>K32</f>
        <v>1.18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947.84999999999991</v>
      </c>
      <c r="J33" s="140">
        <f>SUM(J22:J32)</f>
        <v>0.35</v>
      </c>
      <c r="K33" s="141">
        <f>SUM(K20:K32)</f>
        <v>2.09</v>
      </c>
      <c r="L33" s="141">
        <f>SUM(L20:L32)</f>
        <v>0</v>
      </c>
      <c r="M33" s="139">
        <f>SUM(M20:M32)</f>
        <v>2.09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94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 t="s">
        <v>95</v>
      </c>
      <c r="C38" s="15"/>
      <c r="E38" s="61"/>
      <c r="I38" s="13"/>
    </row>
    <row r="39" spans="1:21" x14ac:dyDescent="0.25">
      <c r="B39" s="4" t="s">
        <v>97</v>
      </c>
      <c r="E39" s="61"/>
      <c r="I39" s="13"/>
      <c r="L39" s="13"/>
    </row>
    <row r="40" spans="1:21" x14ac:dyDescent="0.25">
      <c r="B40" s="4" t="s">
        <v>96</v>
      </c>
      <c r="E40" s="61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297DD-624D-4E11-8485-7A8400BE832E}">
  <sheetPr>
    <tabColor theme="4" tint="0.59999389629810485"/>
  </sheetPr>
  <dimension ref="A1:U48"/>
  <sheetViews>
    <sheetView zoomScale="98" zoomScaleNormal="98" workbookViewId="0">
      <selection activeCell="F9" sqref="F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50</v>
      </c>
      <c r="H2" s="21">
        <v>45273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9.7415000000000003</v>
      </c>
      <c r="D6" s="6">
        <v>0</v>
      </c>
      <c r="E6" s="85">
        <f>B6+C6-D6</f>
        <v>9.7415000000000003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24.888700000000007</v>
      </c>
      <c r="C8" s="28">
        <v>22.164000000000001</v>
      </c>
      <c r="D8" s="29">
        <v>5.2</v>
      </c>
      <c r="E8" s="85">
        <f>B8+C8-D8</f>
        <v>41.852700000000006</v>
      </c>
      <c r="F8" s="7">
        <v>14</v>
      </c>
      <c r="G8" s="3">
        <f>F8*0.05</f>
        <v>0.70000000000000007</v>
      </c>
      <c r="H8" s="97">
        <f t="shared" si="1"/>
        <v>7.4285714285714279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54.494499999999988</v>
      </c>
      <c r="C9" s="28">
        <v>49.859499999999997</v>
      </c>
      <c r="D9" s="29">
        <v>64</v>
      </c>
      <c r="E9" s="85">
        <f>B9+C9-D9</f>
        <v>40.353999999999985</v>
      </c>
      <c r="F9" s="142">
        <v>297</v>
      </c>
      <c r="G9" s="3">
        <f t="shared" si="0"/>
        <v>14.850000000000001</v>
      </c>
      <c r="H9" s="97">
        <f t="shared" si="1"/>
        <v>4.3097643097643097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5.1430000000000007</v>
      </c>
      <c r="C14" s="100">
        <v>4.516</v>
      </c>
      <c r="D14" s="100">
        <v>0</v>
      </c>
      <c r="E14" s="101">
        <f t="shared" si="2"/>
        <v>9.6590000000000007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32.25</v>
      </c>
      <c r="D20" s="2">
        <v>0</v>
      </c>
      <c r="E20" s="18">
        <v>0</v>
      </c>
      <c r="F20" s="47">
        <v>0</v>
      </c>
      <c r="G20" s="2">
        <f>C20+D20-E20+F20</f>
        <v>32.25</v>
      </c>
      <c r="H20" s="24">
        <v>0</v>
      </c>
      <c r="I20" s="17">
        <f t="shared" ref="I20:I32" si="3">G20-H20</f>
        <v>32.25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21.5</v>
      </c>
      <c r="D24" s="48">
        <v>0</v>
      </c>
      <c r="E24" s="49">
        <v>0</v>
      </c>
      <c r="F24" s="50">
        <v>0</v>
      </c>
      <c r="G24" s="48">
        <f t="shared" si="4"/>
        <v>21.5</v>
      </c>
      <c r="H24" s="51">
        <v>0</v>
      </c>
      <c r="I24" s="52">
        <f t="shared" si="3"/>
        <v>21.5</v>
      </c>
      <c r="J24" s="126">
        <v>0</v>
      </c>
      <c r="K24" s="134">
        <f>J24+0.17+0.13</f>
        <v>0.30000000000000004</v>
      </c>
      <c r="L24" s="134">
        <v>0</v>
      </c>
      <c r="M24" s="136">
        <f>K24</f>
        <v>0.30000000000000004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269.2</v>
      </c>
      <c r="D25" s="48">
        <v>11.9</v>
      </c>
      <c r="E25" s="49">
        <v>0</v>
      </c>
      <c r="F25" s="50">
        <v>0</v>
      </c>
      <c r="G25" s="48">
        <f t="shared" si="4"/>
        <v>281.09999999999997</v>
      </c>
      <c r="H25" s="51">
        <v>0</v>
      </c>
      <c r="I25" s="52">
        <f t="shared" si="3"/>
        <v>281.09999999999997</v>
      </c>
      <c r="J25" s="126">
        <v>0.1</v>
      </c>
      <c r="K25" s="134">
        <f>J25+0.3+0.05+0.07+0.135+0.035+0.02</f>
        <v>0.71000000000000008</v>
      </c>
      <c r="L25" s="134">
        <v>0</v>
      </c>
      <c r="M25" s="136">
        <f>K25</f>
        <v>0.71000000000000008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43.200000000000017</v>
      </c>
      <c r="D26" s="2">
        <v>0.7</v>
      </c>
      <c r="E26" s="18">
        <v>0</v>
      </c>
      <c r="F26" s="47">
        <v>0</v>
      </c>
      <c r="G26" s="2">
        <f t="shared" si="4"/>
        <v>43.90000000000002</v>
      </c>
      <c r="H26" s="24">
        <v>0</v>
      </c>
      <c r="I26" s="17">
        <f t="shared" si="3"/>
        <v>43.90000000000002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157.5</v>
      </c>
      <c r="D27" s="2">
        <v>0</v>
      </c>
      <c r="E27" s="18">
        <v>52.5</v>
      </c>
      <c r="F27" s="47">
        <v>0</v>
      </c>
      <c r="G27" s="2">
        <f t="shared" si="4"/>
        <v>105</v>
      </c>
      <c r="H27" s="24">
        <v>0</v>
      </c>
      <c r="I27" s="17">
        <f t="shared" si="3"/>
        <v>105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17.3</v>
      </c>
      <c r="D32" s="120">
        <v>0</v>
      </c>
      <c r="E32" s="121">
        <v>0</v>
      </c>
      <c r="F32" s="122">
        <v>0</v>
      </c>
      <c r="G32" s="120">
        <f t="shared" si="4"/>
        <v>17.3</v>
      </c>
      <c r="H32" s="123">
        <v>0</v>
      </c>
      <c r="I32" s="124">
        <f t="shared" si="3"/>
        <v>17.3</v>
      </c>
      <c r="J32" s="127">
        <v>0</v>
      </c>
      <c r="K32" s="134">
        <f>J32+0.5+0.48+0.2</f>
        <v>1.18</v>
      </c>
      <c r="L32" s="134">
        <v>0</v>
      </c>
      <c r="M32" s="136">
        <f>K32</f>
        <v>1.18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907.94999999999993</v>
      </c>
      <c r="J33" s="140">
        <f>SUM(J22:J32)</f>
        <v>0.1</v>
      </c>
      <c r="K33" s="141">
        <f>SUM(K20:K32)</f>
        <v>2.1900000000000004</v>
      </c>
      <c r="L33" s="141">
        <f>SUM(L20:L32)</f>
        <v>0</v>
      </c>
      <c r="M33" s="139">
        <f>SUM(M20:M32)</f>
        <v>2.1900000000000004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/>
      <c r="C37" s="15"/>
      <c r="D37" s="4"/>
      <c r="E37" s="25"/>
      <c r="I37" s="13"/>
      <c r="K37" s="13"/>
      <c r="L37" s="13"/>
      <c r="M37" s="13"/>
    </row>
    <row r="38" spans="1:21" x14ac:dyDescent="0.25">
      <c r="B38" s="4" t="s">
        <v>95</v>
      </c>
      <c r="C38" s="15"/>
      <c r="E38" s="61"/>
      <c r="I38" s="13"/>
    </row>
    <row r="39" spans="1:21" x14ac:dyDescent="0.25">
      <c r="B39" s="4"/>
      <c r="E39" s="61"/>
      <c r="I39" s="13"/>
      <c r="L39" s="13"/>
    </row>
    <row r="40" spans="1:21" x14ac:dyDescent="0.25">
      <c r="B40" s="4"/>
      <c r="E40" s="61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2FBA-1917-4BDE-93B0-D249530DB8E6}">
  <sheetPr>
    <tabColor theme="4" tint="0.59999389629810485"/>
  </sheetPr>
  <dimension ref="A1:U48"/>
  <sheetViews>
    <sheetView topLeftCell="A3" zoomScale="98" zoomScaleNormal="98" workbookViewId="0">
      <selection activeCell="F8" sqref="F8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51</v>
      </c>
      <c r="H2" s="21">
        <v>45274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9.7415000000000003</v>
      </c>
      <c r="C6" s="5">
        <v>12.02</v>
      </c>
      <c r="D6" s="6">
        <v>0</v>
      </c>
      <c r="E6" s="85">
        <f>B6+C6-D6</f>
        <v>21.761499999999998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41.852700000000006</v>
      </c>
      <c r="C8" s="28">
        <v>12.0305</v>
      </c>
      <c r="D8" s="29">
        <v>20</v>
      </c>
      <c r="E8" s="85">
        <f>B8+C8-D8</f>
        <v>33.883200000000002</v>
      </c>
      <c r="F8" s="7">
        <v>56</v>
      </c>
      <c r="G8" s="3">
        <f>F8*0.05</f>
        <v>2.8000000000000003</v>
      </c>
      <c r="H8" s="97">
        <f t="shared" si="1"/>
        <v>7.1428571428571423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40.353999999999985</v>
      </c>
      <c r="C9" s="28">
        <v>41.4255</v>
      </c>
      <c r="D9" s="29">
        <v>22</v>
      </c>
      <c r="E9" s="85">
        <f>B9+C9-D9</f>
        <v>59.779499999999985</v>
      </c>
      <c r="F9" s="142">
        <v>101</v>
      </c>
      <c r="G9" s="3">
        <f t="shared" si="0"/>
        <v>5.0500000000000007</v>
      </c>
      <c r="H9" s="97">
        <f t="shared" si="1"/>
        <v>4.3564356435643559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5.9119999999999999</v>
      </c>
      <c r="D12" s="29">
        <v>5.9119999999999999</v>
      </c>
      <c r="E12" s="85">
        <f>B12+C12-D12</f>
        <v>0</v>
      </c>
      <c r="F12" s="142">
        <v>28</v>
      </c>
      <c r="G12" s="3">
        <f t="shared" si="0"/>
        <v>1.4000000000000001</v>
      </c>
      <c r="H12" s="97">
        <f t="shared" si="1"/>
        <v>4.2228571428571424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9.6590000000000007</v>
      </c>
      <c r="C14" s="100">
        <v>3.5565000000000002</v>
      </c>
      <c r="D14" s="100">
        <v>7.5</v>
      </c>
      <c r="E14" s="101">
        <f t="shared" si="2"/>
        <v>5.7155000000000005</v>
      </c>
      <c r="F14" s="143">
        <v>34</v>
      </c>
      <c r="G14" s="103">
        <f t="shared" si="0"/>
        <v>1.7000000000000002</v>
      </c>
      <c r="H14" s="104">
        <f t="shared" si="1"/>
        <v>4.4117647058823524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32.25</v>
      </c>
      <c r="D20" s="2">
        <v>0</v>
      </c>
      <c r="E20" s="18">
        <v>0</v>
      </c>
      <c r="F20" s="47">
        <v>0</v>
      </c>
      <c r="G20" s="2">
        <f>C20+D20-E20+F20</f>
        <v>32.25</v>
      </c>
      <c r="H20" s="24">
        <v>0</v>
      </c>
      <c r="I20" s="17">
        <f t="shared" ref="I20:I32" si="3">G20-H20</f>
        <v>32.25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21.5</v>
      </c>
      <c r="D24" s="48">
        <v>0.85</v>
      </c>
      <c r="E24" s="49">
        <v>0</v>
      </c>
      <c r="F24" s="50">
        <v>0</v>
      </c>
      <c r="G24" s="48">
        <f t="shared" si="4"/>
        <v>22.35</v>
      </c>
      <c r="H24" s="51">
        <v>0</v>
      </c>
      <c r="I24" s="52">
        <f t="shared" si="3"/>
        <v>22.35</v>
      </c>
      <c r="J24" s="126">
        <v>0.32</v>
      </c>
      <c r="K24" s="134">
        <f>J24+0.17+0.13</f>
        <v>0.62</v>
      </c>
      <c r="L24" s="134">
        <v>0</v>
      </c>
      <c r="M24" s="136">
        <f>K24</f>
        <v>0.62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281.09999999999997</v>
      </c>
      <c r="D25" s="48">
        <v>3.95</v>
      </c>
      <c r="E25" s="49">
        <v>0</v>
      </c>
      <c r="F25" s="50">
        <v>0</v>
      </c>
      <c r="G25" s="48">
        <f t="shared" si="4"/>
        <v>285.04999999999995</v>
      </c>
      <c r="H25" s="51">
        <v>0</v>
      </c>
      <c r="I25" s="52">
        <f t="shared" si="3"/>
        <v>285.04999999999995</v>
      </c>
      <c r="J25" s="126">
        <v>0</v>
      </c>
      <c r="K25" s="134">
        <f>J25+0.3+0.05+0.07+0.135+0.035+0.02+0.1</f>
        <v>0.71</v>
      </c>
      <c r="L25" s="134">
        <v>0</v>
      </c>
      <c r="M25" s="136">
        <f>K25</f>
        <v>0.71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43.90000000000002</v>
      </c>
      <c r="D26" s="2">
        <v>2.8</v>
      </c>
      <c r="E26" s="18">
        <v>30</v>
      </c>
      <c r="F26" s="47">
        <v>0</v>
      </c>
      <c r="G26" s="2">
        <f t="shared" si="4"/>
        <v>16.700000000000017</v>
      </c>
      <c r="H26" s="24">
        <v>0</v>
      </c>
      <c r="I26" s="17">
        <f t="shared" si="3"/>
        <v>16.700000000000017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105</v>
      </c>
      <c r="D27" s="2">
        <v>0</v>
      </c>
      <c r="E27" s="18">
        <v>0</v>
      </c>
      <c r="F27" s="47">
        <v>0</v>
      </c>
      <c r="G27" s="2">
        <f t="shared" si="4"/>
        <v>105</v>
      </c>
      <c r="H27" s="24">
        <v>0</v>
      </c>
      <c r="I27" s="17">
        <f t="shared" si="3"/>
        <v>105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17.3</v>
      </c>
      <c r="D32" s="120">
        <v>0.6</v>
      </c>
      <c r="E32" s="121">
        <v>0</v>
      </c>
      <c r="F32" s="122">
        <v>0</v>
      </c>
      <c r="G32" s="120">
        <f t="shared" si="4"/>
        <v>17.900000000000002</v>
      </c>
      <c r="H32" s="123">
        <v>0</v>
      </c>
      <c r="I32" s="124">
        <f t="shared" si="3"/>
        <v>17.900000000000002</v>
      </c>
      <c r="J32" s="127">
        <v>0.08</v>
      </c>
      <c r="K32" s="134">
        <f>J32+0.5+0.48+0.2</f>
        <v>1.26</v>
      </c>
      <c r="L32" s="134">
        <v>0</v>
      </c>
      <c r="M32" s="136">
        <f>K32</f>
        <v>1.26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886.15</v>
      </c>
      <c r="J33" s="140">
        <f>SUM(J22:J32)</f>
        <v>0.4</v>
      </c>
      <c r="K33" s="141">
        <f>SUM(K20:K32)</f>
        <v>2.59</v>
      </c>
      <c r="L33" s="141">
        <f>SUM(L20:L32)</f>
        <v>0</v>
      </c>
      <c r="M33" s="139">
        <f>SUM(M20:M32)</f>
        <v>2.59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99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 t="s">
        <v>98</v>
      </c>
      <c r="C38" s="15"/>
      <c r="E38" s="61"/>
      <c r="I38" s="13"/>
    </row>
    <row r="39" spans="1:21" x14ac:dyDescent="0.25">
      <c r="B39" s="4"/>
      <c r="E39" s="61"/>
      <c r="I39" s="13"/>
      <c r="L39" s="13"/>
    </row>
    <row r="40" spans="1:21" x14ac:dyDescent="0.25">
      <c r="B40" s="4"/>
      <c r="E40" s="61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1D700-2E6D-4FB8-BD60-FDD6D6F94B03}">
  <sheetPr>
    <tabColor theme="4" tint="0.59999389629810485"/>
  </sheetPr>
  <dimension ref="A1:U48"/>
  <sheetViews>
    <sheetView topLeftCell="A14" zoomScale="98" zoomScaleNormal="98" workbookViewId="0">
      <selection activeCell="E6" sqref="E6:E14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52</v>
      </c>
      <c r="H2" s="21">
        <v>45275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21.761499999999998</v>
      </c>
      <c r="C6" s="5">
        <v>13.8375</v>
      </c>
      <c r="D6" s="6">
        <v>23</v>
      </c>
      <c r="E6" s="85">
        <f>B6+C6-D6</f>
        <v>12.598999999999997</v>
      </c>
      <c r="F6" s="7">
        <v>46</v>
      </c>
      <c r="G6" s="3">
        <f t="shared" ref="G6:G14" si="0">F6*0.05</f>
        <v>2.3000000000000003</v>
      </c>
      <c r="H6" s="97">
        <f t="shared" ref="H6:H14" si="1">D6/G6</f>
        <v>9.9999999999999982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33.883200000000002</v>
      </c>
      <c r="C8" s="28">
        <v>28.096</v>
      </c>
      <c r="D8" s="29">
        <v>42</v>
      </c>
      <c r="E8" s="85">
        <f>B8+C8-D8</f>
        <v>19.979200000000006</v>
      </c>
      <c r="F8" s="7">
        <v>147</v>
      </c>
      <c r="G8" s="3">
        <f>F8*0.05</f>
        <v>7.3500000000000005</v>
      </c>
      <c r="H8" s="97">
        <f t="shared" si="1"/>
        <v>5.7142857142857135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59.779499999999985</v>
      </c>
      <c r="C9" s="28">
        <v>21.808</v>
      </c>
      <c r="D9" s="29">
        <v>8</v>
      </c>
      <c r="E9" s="85">
        <f>B9+C9-D9</f>
        <v>73.587499999999977</v>
      </c>
      <c r="F9" s="142">
        <v>38</v>
      </c>
      <c r="G9" s="3">
        <f t="shared" si="0"/>
        <v>1.9000000000000001</v>
      </c>
      <c r="H9" s="97">
        <f t="shared" si="1"/>
        <v>4.2105263157894735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5.7155000000000005</v>
      </c>
      <c r="C14" s="100">
        <v>6.2035</v>
      </c>
      <c r="D14" s="100">
        <v>7</v>
      </c>
      <c r="E14" s="101">
        <f t="shared" si="2"/>
        <v>4.9190000000000005</v>
      </c>
      <c r="F14" s="143">
        <v>32</v>
      </c>
      <c r="G14" s="103">
        <f t="shared" si="0"/>
        <v>1.6</v>
      </c>
      <c r="H14" s="104">
        <f t="shared" si="1"/>
        <v>4.375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32.25</v>
      </c>
      <c r="D20" s="2">
        <v>2.2999999999999998</v>
      </c>
      <c r="E20" s="18">
        <v>0</v>
      </c>
      <c r="F20" s="47">
        <v>0</v>
      </c>
      <c r="G20" s="2">
        <f>C20+D20-E20+F20</f>
        <v>34.549999999999997</v>
      </c>
      <c r="H20" s="24">
        <v>0</v>
      </c>
      <c r="I20" s="17">
        <f t="shared" ref="I20:I32" si="3">G20-H20</f>
        <v>34.549999999999997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22.35</v>
      </c>
      <c r="D24" s="48">
        <v>0.9</v>
      </c>
      <c r="E24" s="49">
        <v>0</v>
      </c>
      <c r="F24" s="50">
        <v>0</v>
      </c>
      <c r="G24" s="48">
        <f t="shared" si="4"/>
        <v>23.25</v>
      </c>
      <c r="H24" s="51">
        <v>0</v>
      </c>
      <c r="I24" s="52">
        <f t="shared" si="3"/>
        <v>23.25</v>
      </c>
      <c r="J24" s="126">
        <v>0</v>
      </c>
      <c r="K24" s="134">
        <f>J24+0.17+0.13+0.32</f>
        <v>0.62000000000000011</v>
      </c>
      <c r="L24" s="134">
        <v>0</v>
      </c>
      <c r="M24" s="136">
        <f>K24</f>
        <v>0.62000000000000011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285.04999999999995</v>
      </c>
      <c r="D25" s="48">
        <v>1.4</v>
      </c>
      <c r="E25" s="49">
        <v>0</v>
      </c>
      <c r="F25" s="50">
        <v>0</v>
      </c>
      <c r="G25" s="48">
        <f t="shared" si="4"/>
        <v>286.44999999999993</v>
      </c>
      <c r="H25" s="51">
        <v>0</v>
      </c>
      <c r="I25" s="52">
        <f t="shared" si="3"/>
        <v>286.44999999999993</v>
      </c>
      <c r="J25" s="126">
        <v>0.03</v>
      </c>
      <c r="K25" s="134">
        <f>J25+0.3+0.05+0.07+0.135+0.035+0.02+0.1</f>
        <v>0.74</v>
      </c>
      <c r="L25" s="134">
        <v>0</v>
      </c>
      <c r="M25" s="136">
        <f>K25</f>
        <v>0.74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16.700000000000017</v>
      </c>
      <c r="D26" s="2">
        <v>7.35</v>
      </c>
      <c r="E26" s="18">
        <v>0</v>
      </c>
      <c r="F26" s="47">
        <v>0</v>
      </c>
      <c r="G26" s="2">
        <f t="shared" si="4"/>
        <v>24.050000000000018</v>
      </c>
      <c r="H26" s="24">
        <v>0</v>
      </c>
      <c r="I26" s="17">
        <f t="shared" si="3"/>
        <v>24.050000000000018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105</v>
      </c>
      <c r="D27" s="2">
        <v>0</v>
      </c>
      <c r="E27" s="18">
        <v>0</v>
      </c>
      <c r="F27" s="47">
        <v>0</v>
      </c>
      <c r="G27" s="2">
        <f t="shared" si="4"/>
        <v>105</v>
      </c>
      <c r="H27" s="24">
        <v>0</v>
      </c>
      <c r="I27" s="17">
        <f t="shared" si="3"/>
        <v>105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17.900000000000002</v>
      </c>
      <c r="D32" s="120">
        <v>0</v>
      </c>
      <c r="E32" s="121">
        <v>0</v>
      </c>
      <c r="F32" s="122">
        <v>0</v>
      </c>
      <c r="G32" s="120">
        <f t="shared" si="4"/>
        <v>17.900000000000002</v>
      </c>
      <c r="H32" s="123">
        <v>0</v>
      </c>
      <c r="I32" s="124">
        <f t="shared" si="3"/>
        <v>17.900000000000002</v>
      </c>
      <c r="J32" s="127">
        <v>0</v>
      </c>
      <c r="K32" s="134">
        <f>J32+0.5+0.48+0.2+0.08</f>
        <v>1.26</v>
      </c>
      <c r="L32" s="134">
        <v>0</v>
      </c>
      <c r="M32" s="136">
        <f>K32</f>
        <v>1.26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898.09999999999991</v>
      </c>
      <c r="J33" s="140">
        <f>SUM(J22:J32)</f>
        <v>0.03</v>
      </c>
      <c r="K33" s="141">
        <f>SUM(K20:K32)</f>
        <v>2.62</v>
      </c>
      <c r="L33" s="141">
        <f>SUM(L20:L32)</f>
        <v>0</v>
      </c>
      <c r="M33" s="139">
        <f>SUM(M20:M32)</f>
        <v>2.62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100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/>
      <c r="C38" s="15"/>
      <c r="E38" s="61"/>
      <c r="I38" s="13"/>
    </row>
    <row r="39" spans="1:21" x14ac:dyDescent="0.25">
      <c r="B39" s="4"/>
      <c r="E39" s="61"/>
      <c r="I39" s="13"/>
      <c r="L39" s="13"/>
    </row>
    <row r="40" spans="1:21" x14ac:dyDescent="0.25">
      <c r="B40" s="4"/>
      <c r="E40" s="61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1722-3A85-4AD8-84E7-3068261933C9}">
  <sheetPr>
    <tabColor theme="4" tint="0.59999389629810485"/>
  </sheetPr>
  <dimension ref="A1:U48"/>
  <sheetViews>
    <sheetView topLeftCell="A5" zoomScale="98" zoomScaleNormal="98" workbookViewId="0">
      <selection activeCell="H9" sqref="H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57</v>
      </c>
      <c r="H2" s="21">
        <v>45276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12.598999999999997</v>
      </c>
      <c r="C6" s="5">
        <v>2.6825000000000001</v>
      </c>
      <c r="D6" s="6">
        <v>0</v>
      </c>
      <c r="E6" s="85">
        <f>B6+C6-D6</f>
        <v>15.281499999999998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19.979200000000006</v>
      </c>
      <c r="C8" s="28">
        <v>18.729500000000002</v>
      </c>
      <c r="D8" s="29">
        <v>0</v>
      </c>
      <c r="E8" s="85">
        <f>B8+C8-D8</f>
        <v>38.708700000000007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73.587499999999977</v>
      </c>
      <c r="C9" s="28">
        <v>26.396999999999998</v>
      </c>
      <c r="D9" s="29">
        <v>48</v>
      </c>
      <c r="E9" s="85">
        <f>B9+C9-D9</f>
        <v>51.984499999999969</v>
      </c>
      <c r="F9" s="142">
        <v>172</v>
      </c>
      <c r="G9" s="3">
        <f t="shared" si="0"/>
        <v>8.6</v>
      </c>
      <c r="H9" s="97">
        <f t="shared" si="1"/>
        <v>5.5813953488372094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4.9190000000000005</v>
      </c>
      <c r="C14" s="100">
        <v>5.0510000000000002</v>
      </c>
      <c r="D14" s="100">
        <v>10.97</v>
      </c>
      <c r="E14" s="101">
        <f t="shared" si="2"/>
        <v>-1</v>
      </c>
      <c r="F14" s="143">
        <v>41</v>
      </c>
      <c r="G14" s="103">
        <f t="shared" si="0"/>
        <v>2.0500000000000003</v>
      </c>
      <c r="H14" s="104">
        <f t="shared" si="1"/>
        <v>5.3512195121951214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34.549999999999997</v>
      </c>
      <c r="D20" s="2">
        <v>0</v>
      </c>
      <c r="E20" s="18">
        <v>0</v>
      </c>
      <c r="F20" s="47">
        <v>0</v>
      </c>
      <c r="G20" s="2">
        <f>C20+D20-E20+F20</f>
        <v>34.549999999999997</v>
      </c>
      <c r="H20" s="24">
        <v>0</v>
      </c>
      <c r="I20" s="17">
        <f t="shared" ref="I20:I32" si="3">G20-H20</f>
        <v>34.549999999999997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23.25</v>
      </c>
      <c r="D24" s="48">
        <v>2.0499999999999998</v>
      </c>
      <c r="E24" s="49">
        <v>0</v>
      </c>
      <c r="F24" s="50">
        <v>0</v>
      </c>
      <c r="G24" s="48">
        <f t="shared" si="4"/>
        <v>25.3</v>
      </c>
      <c r="H24" s="51">
        <v>0</v>
      </c>
      <c r="I24" s="52">
        <f t="shared" si="3"/>
        <v>25.3</v>
      </c>
      <c r="J24" s="126">
        <v>0</v>
      </c>
      <c r="K24" s="134">
        <f>J24+0.17+0.13+0.32</f>
        <v>0.62000000000000011</v>
      </c>
      <c r="L24" s="134">
        <v>0</v>
      </c>
      <c r="M24" s="136">
        <f>K24</f>
        <v>0.62000000000000011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286.44999999999993</v>
      </c>
      <c r="D25" s="48">
        <v>8.6</v>
      </c>
      <c r="E25" s="49">
        <v>0</v>
      </c>
      <c r="F25" s="50">
        <v>0</v>
      </c>
      <c r="G25" s="48">
        <f t="shared" si="4"/>
        <v>295.04999999999995</v>
      </c>
      <c r="H25" s="51">
        <v>0</v>
      </c>
      <c r="I25" s="52">
        <f t="shared" si="3"/>
        <v>295.04999999999995</v>
      </c>
      <c r="J25" s="126">
        <v>0</v>
      </c>
      <c r="K25" s="134">
        <f>J25+0.3+0.05+0.07+0.135+0.035+0.02+0.1+0.03</f>
        <v>0.74</v>
      </c>
      <c r="L25" s="134">
        <v>0</v>
      </c>
      <c r="M25" s="136">
        <f>K25</f>
        <v>0.74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24.050000000000018</v>
      </c>
      <c r="D26" s="2">
        <v>0</v>
      </c>
      <c r="E26" s="18">
        <v>0</v>
      </c>
      <c r="F26" s="47">
        <v>0</v>
      </c>
      <c r="G26" s="2">
        <f t="shared" si="4"/>
        <v>24.050000000000018</v>
      </c>
      <c r="H26" s="24">
        <v>0</v>
      </c>
      <c r="I26" s="17">
        <f t="shared" si="3"/>
        <v>24.050000000000018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105</v>
      </c>
      <c r="D27" s="2">
        <v>0</v>
      </c>
      <c r="E27" s="18">
        <v>0</v>
      </c>
      <c r="F27" s="47">
        <v>0</v>
      </c>
      <c r="G27" s="2">
        <f t="shared" si="4"/>
        <v>105</v>
      </c>
      <c r="H27" s="24">
        <v>0</v>
      </c>
      <c r="I27" s="17">
        <f t="shared" si="3"/>
        <v>105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17.900000000000002</v>
      </c>
      <c r="D32" s="120">
        <v>0</v>
      </c>
      <c r="E32" s="121">
        <v>0</v>
      </c>
      <c r="F32" s="122">
        <v>0</v>
      </c>
      <c r="G32" s="120">
        <f t="shared" si="4"/>
        <v>17.900000000000002</v>
      </c>
      <c r="H32" s="123">
        <v>0</v>
      </c>
      <c r="I32" s="124">
        <f t="shared" si="3"/>
        <v>17.900000000000002</v>
      </c>
      <c r="J32" s="127">
        <v>0</v>
      </c>
      <c r="K32" s="134">
        <f>J32+0.5+0.48+0.2+0.08</f>
        <v>1.26</v>
      </c>
      <c r="L32" s="134">
        <v>0</v>
      </c>
      <c r="M32" s="136">
        <f>K32</f>
        <v>1.26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908.75</v>
      </c>
      <c r="J33" s="140">
        <f>SUM(J22:J32)</f>
        <v>0</v>
      </c>
      <c r="K33" s="141">
        <f>SUM(K20:K32)</f>
        <v>2.62</v>
      </c>
      <c r="L33" s="141">
        <f>SUM(L20:L32)</f>
        <v>0</v>
      </c>
      <c r="M33" s="139">
        <f>SUM(M20:M32)</f>
        <v>2.62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100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/>
      <c r="C38" s="15"/>
      <c r="E38" s="61"/>
      <c r="I38" s="13"/>
    </row>
    <row r="39" spans="1:21" x14ac:dyDescent="0.25">
      <c r="B39" s="4"/>
      <c r="E39" s="61"/>
      <c r="I39" s="13"/>
      <c r="L39" s="13"/>
    </row>
    <row r="40" spans="1:21" x14ac:dyDescent="0.25">
      <c r="B40" s="4"/>
      <c r="E40" s="61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AB70-32CB-4D93-ABD9-2D18F661791A}">
  <sheetPr>
    <tabColor theme="4" tint="0.59999389629810485"/>
  </sheetPr>
  <dimension ref="A1:U48"/>
  <sheetViews>
    <sheetView tabSelected="1" zoomScale="98" zoomScaleNormal="98" workbookViewId="0">
      <selection activeCell="F14" sqref="F14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58</v>
      </c>
      <c r="H2" s="21">
        <v>45277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12.598999999999997</v>
      </c>
      <c r="C6" s="5">
        <v>2.6825000000000001</v>
      </c>
      <c r="D6" s="6">
        <v>0</v>
      </c>
      <c r="E6" s="85">
        <f>B6+C6-D6</f>
        <v>15.281499999999998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19.979200000000006</v>
      </c>
      <c r="C8" s="28">
        <v>18.729500000000002</v>
      </c>
      <c r="D8" s="29">
        <v>0</v>
      </c>
      <c r="E8" s="85">
        <f>B8+C8-D8</f>
        <v>38.708700000000007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73.587499999999977</v>
      </c>
      <c r="C9" s="28">
        <v>26.396999999999998</v>
      </c>
      <c r="D9" s="29">
        <v>48</v>
      </c>
      <c r="E9" s="85">
        <f>B9+C9-D9</f>
        <v>51.984499999999969</v>
      </c>
      <c r="F9" s="142">
        <v>172</v>
      </c>
      <c r="G9" s="3">
        <f t="shared" si="0"/>
        <v>8.6</v>
      </c>
      <c r="H9" s="97">
        <f t="shared" si="1"/>
        <v>5.5813953488372094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142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4.9190000000000005</v>
      </c>
      <c r="C14" s="100">
        <v>5.0510000000000002</v>
      </c>
      <c r="D14" s="100">
        <v>9.9700000000000006</v>
      </c>
      <c r="E14" s="101">
        <f t="shared" si="2"/>
        <v>0</v>
      </c>
      <c r="F14" s="143">
        <v>41</v>
      </c>
      <c r="G14" s="103">
        <f t="shared" si="0"/>
        <v>2.0500000000000003</v>
      </c>
      <c r="H14" s="104">
        <f t="shared" si="1"/>
        <v>4.8634146341463413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34.549999999999997</v>
      </c>
      <c r="D20" s="2">
        <v>0</v>
      </c>
      <c r="E20" s="18">
        <v>0</v>
      </c>
      <c r="F20" s="47">
        <v>0</v>
      </c>
      <c r="G20" s="2">
        <f>C20+D20-E20+F20</f>
        <v>34.549999999999997</v>
      </c>
      <c r="H20" s="24">
        <v>0</v>
      </c>
      <c r="I20" s="17">
        <f t="shared" ref="I20:I32" si="3">G20-H20</f>
        <v>34.549999999999997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2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58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/>
      <c r="L23" s="138"/>
      <c r="M23" s="139"/>
      <c r="N23" s="58"/>
      <c r="O23" s="45"/>
      <c r="U23" s="45"/>
    </row>
    <row r="24" spans="2:21" ht="15.75" x14ac:dyDescent="0.25">
      <c r="B24" s="114" t="s">
        <v>37</v>
      </c>
      <c r="C24" s="48">
        <v>23.25</v>
      </c>
      <c r="D24" s="48">
        <v>2.0499999999999998</v>
      </c>
      <c r="E24" s="49">
        <v>0</v>
      </c>
      <c r="F24" s="50">
        <v>0</v>
      </c>
      <c r="G24" s="48">
        <f t="shared" si="4"/>
        <v>25.3</v>
      </c>
      <c r="H24" s="51">
        <v>0</v>
      </c>
      <c r="I24" s="52">
        <f t="shared" si="3"/>
        <v>25.3</v>
      </c>
      <c r="J24" s="126">
        <v>0</v>
      </c>
      <c r="K24" s="134">
        <f>J24+0.17+0.13+0.32</f>
        <v>0.62000000000000011</v>
      </c>
      <c r="L24" s="134">
        <v>0</v>
      </c>
      <c r="M24" s="136">
        <f>K24</f>
        <v>0.62000000000000011</v>
      </c>
      <c r="N24" s="58">
        <v>0</v>
      </c>
      <c r="O24" s="45"/>
      <c r="U24" s="45"/>
    </row>
    <row r="25" spans="2:21" ht="15.75" x14ac:dyDescent="0.25">
      <c r="B25" s="114" t="s">
        <v>38</v>
      </c>
      <c r="C25" s="48">
        <v>286.44999999999993</v>
      </c>
      <c r="D25" s="48">
        <v>8.6</v>
      </c>
      <c r="E25" s="49">
        <v>0</v>
      </c>
      <c r="F25" s="50">
        <v>0</v>
      </c>
      <c r="G25" s="48">
        <f t="shared" si="4"/>
        <v>295.04999999999995</v>
      </c>
      <c r="H25" s="51">
        <v>0</v>
      </c>
      <c r="I25" s="52">
        <f t="shared" si="3"/>
        <v>295.04999999999995</v>
      </c>
      <c r="J25" s="126">
        <v>0</v>
      </c>
      <c r="K25" s="134">
        <f>J25+0.3+0.05+0.07+0.135+0.035+0.02+0.1+0.03</f>
        <v>0.74</v>
      </c>
      <c r="L25" s="134">
        <v>0</v>
      </c>
      <c r="M25" s="136">
        <f>K25</f>
        <v>0.74</v>
      </c>
      <c r="N25" s="58">
        <v>0</v>
      </c>
      <c r="O25" s="45"/>
      <c r="U25" s="45"/>
    </row>
    <row r="26" spans="2:21" ht="15.75" x14ac:dyDescent="0.25">
      <c r="B26" s="115" t="s">
        <v>39</v>
      </c>
      <c r="C26" s="2">
        <v>24.050000000000018</v>
      </c>
      <c r="D26" s="2">
        <v>0</v>
      </c>
      <c r="E26" s="18">
        <v>0</v>
      </c>
      <c r="F26" s="47">
        <v>0</v>
      </c>
      <c r="G26" s="2">
        <f t="shared" si="4"/>
        <v>24.050000000000018</v>
      </c>
      <c r="H26" s="24">
        <v>0</v>
      </c>
      <c r="I26" s="17">
        <f t="shared" si="3"/>
        <v>24.050000000000018</v>
      </c>
      <c r="J26" s="125">
        <v>0</v>
      </c>
      <c r="K26" s="138"/>
      <c r="L26" s="138"/>
      <c r="M26" s="139"/>
      <c r="N26" s="58"/>
      <c r="O26" s="45"/>
      <c r="U26" s="45"/>
    </row>
    <row r="27" spans="2:21" ht="15.75" x14ac:dyDescent="0.25">
      <c r="B27" s="115" t="s">
        <v>83</v>
      </c>
      <c r="C27" s="2">
        <v>105</v>
      </c>
      <c r="D27" s="2">
        <v>0</v>
      </c>
      <c r="E27" s="18">
        <v>0</v>
      </c>
      <c r="F27" s="47">
        <v>0</v>
      </c>
      <c r="G27" s="2">
        <f t="shared" si="4"/>
        <v>105</v>
      </c>
      <c r="H27" s="24">
        <v>0</v>
      </c>
      <c r="I27" s="17">
        <f t="shared" si="3"/>
        <v>105</v>
      </c>
      <c r="J27" s="125">
        <v>0</v>
      </c>
      <c r="K27" s="138"/>
      <c r="L27" s="138"/>
      <c r="M27" s="139"/>
      <c r="N27" s="58"/>
    </row>
    <row r="28" spans="2:21" ht="15.75" x14ac:dyDescent="0.25">
      <c r="B28" s="115" t="s">
        <v>84</v>
      </c>
      <c r="C28" s="2">
        <v>105</v>
      </c>
      <c r="D28" s="2">
        <v>0</v>
      </c>
      <c r="E28" s="18">
        <v>0</v>
      </c>
      <c r="F28" s="47">
        <v>0</v>
      </c>
      <c r="G28" s="2">
        <f t="shared" si="4"/>
        <v>105</v>
      </c>
      <c r="H28" s="24">
        <v>0</v>
      </c>
      <c r="I28" s="17">
        <f t="shared" si="3"/>
        <v>105</v>
      </c>
      <c r="J28" s="125">
        <v>0</v>
      </c>
      <c r="K28" s="138"/>
      <c r="L28" s="138"/>
      <c r="M28" s="139"/>
      <c r="N28" s="58"/>
    </row>
    <row r="29" spans="2:21" ht="15.75" x14ac:dyDescent="0.25">
      <c r="B29" s="117" t="s">
        <v>42</v>
      </c>
      <c r="C29" s="54">
        <v>6.65</v>
      </c>
      <c r="D29" s="54">
        <v>0</v>
      </c>
      <c r="E29" s="55">
        <v>0</v>
      </c>
      <c r="F29" s="56">
        <v>0</v>
      </c>
      <c r="G29" s="2">
        <f t="shared" si="4"/>
        <v>6.65</v>
      </c>
      <c r="H29" s="24">
        <v>0</v>
      </c>
      <c r="I29" s="17">
        <f t="shared" si="3"/>
        <v>6.65</v>
      </c>
      <c r="J29" s="125">
        <v>0</v>
      </c>
      <c r="K29" s="138"/>
      <c r="L29" s="138"/>
      <c r="M29" s="139"/>
      <c r="N29" s="58"/>
    </row>
    <row r="30" spans="2:21" ht="15.75" x14ac:dyDescent="0.25">
      <c r="B30" s="117" t="s">
        <v>43</v>
      </c>
      <c r="C30" s="54">
        <v>294</v>
      </c>
      <c r="D30" s="54">
        <v>0</v>
      </c>
      <c r="E30" s="55">
        <v>0</v>
      </c>
      <c r="F30" s="56">
        <v>0</v>
      </c>
      <c r="G30" s="2">
        <f t="shared" si="4"/>
        <v>294</v>
      </c>
      <c r="H30" s="24">
        <v>0</v>
      </c>
      <c r="I30" s="17">
        <f t="shared" si="3"/>
        <v>294</v>
      </c>
      <c r="J30" s="125">
        <v>0</v>
      </c>
      <c r="K30" s="138"/>
      <c r="L30" s="138"/>
      <c r="M30" s="139"/>
      <c r="N30" s="58"/>
    </row>
    <row r="31" spans="2:21" ht="15.75" x14ac:dyDescent="0.25">
      <c r="B31" s="115" t="s">
        <v>49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/>
      <c r="L31" s="138"/>
      <c r="M31" s="139"/>
      <c r="N31" s="58"/>
    </row>
    <row r="32" spans="2:21" ht="16.5" thickBot="1" x14ac:dyDescent="0.3">
      <c r="B32" s="119" t="s">
        <v>45</v>
      </c>
      <c r="C32" s="120">
        <v>17.900000000000002</v>
      </c>
      <c r="D32" s="120">
        <v>0</v>
      </c>
      <c r="E32" s="121">
        <v>0</v>
      </c>
      <c r="F32" s="122">
        <v>0</v>
      </c>
      <c r="G32" s="120">
        <f t="shared" si="4"/>
        <v>17.900000000000002</v>
      </c>
      <c r="H32" s="123">
        <v>0</v>
      </c>
      <c r="I32" s="124">
        <f t="shared" si="3"/>
        <v>17.900000000000002</v>
      </c>
      <c r="J32" s="127">
        <v>0</v>
      </c>
      <c r="K32" s="134">
        <f>J32+0.5+0.48+0.2+0.08</f>
        <v>1.26</v>
      </c>
      <c r="L32" s="134">
        <v>0</v>
      </c>
      <c r="M32" s="136">
        <f>K32</f>
        <v>1.26</v>
      </c>
      <c r="N32" s="58">
        <v>0</v>
      </c>
    </row>
    <row r="33" spans="1:21" ht="16.5" thickBot="1" x14ac:dyDescent="0.3">
      <c r="C33" s="13"/>
      <c r="D33" s="20"/>
      <c r="E33" s="13"/>
      <c r="G33" s="13"/>
      <c r="H33" s="105" t="s">
        <v>46</v>
      </c>
      <c r="I33" s="106">
        <f>SUM(I20:I32)</f>
        <v>908.75</v>
      </c>
      <c r="J33" s="140">
        <f>SUM(J22:J32)</f>
        <v>0</v>
      </c>
      <c r="K33" s="141">
        <f>SUM(K20:K32)</f>
        <v>2.62</v>
      </c>
      <c r="L33" s="141">
        <f>SUM(L20:L32)</f>
        <v>0</v>
      </c>
      <c r="M33" s="139">
        <f>SUM(M20:M32)</f>
        <v>2.62</v>
      </c>
      <c r="N33" s="58"/>
    </row>
    <row r="34" spans="1:21" ht="15.75" x14ac:dyDescent="0.25">
      <c r="B34" s="22"/>
      <c r="C34" s="13"/>
      <c r="D34" s="20"/>
      <c r="E34" s="13"/>
      <c r="G34" s="13"/>
      <c r="H34" s="4"/>
      <c r="I34" s="66"/>
      <c r="J34" s="66"/>
      <c r="K34" s="64"/>
      <c r="L34" s="64"/>
      <c r="M34" s="65"/>
      <c r="N34" s="53"/>
    </row>
    <row r="35" spans="1:21" x14ac:dyDescent="0.25">
      <c r="B35" s="4" t="s">
        <v>47</v>
      </c>
      <c r="C35" s="60"/>
      <c r="D35" s="57"/>
      <c r="E35" s="16"/>
      <c r="I35" s="20"/>
      <c r="J35" s="12"/>
      <c r="K35" s="20"/>
      <c r="L35" s="20"/>
      <c r="M35" s="25"/>
      <c r="N35" s="39"/>
      <c r="O35" s="20"/>
    </row>
    <row r="36" spans="1:21" x14ac:dyDescent="0.25">
      <c r="B36" s="33"/>
      <c r="C36" s="15"/>
      <c r="D36" s="57"/>
      <c r="E36" s="61"/>
      <c r="F36" s="16"/>
      <c r="G36" s="13"/>
      <c r="H36" s="13"/>
      <c r="I36" s="13"/>
      <c r="J36" s="63"/>
      <c r="K36" s="20"/>
      <c r="L36" s="20"/>
      <c r="M36" s="25"/>
      <c r="N36" s="39"/>
      <c r="O36" s="20"/>
    </row>
    <row r="37" spans="1:21" x14ac:dyDescent="0.25">
      <c r="B37" s="4" t="s">
        <v>100</v>
      </c>
      <c r="C37" s="15"/>
      <c r="D37" s="4"/>
      <c r="E37" s="25"/>
      <c r="I37" s="13"/>
      <c r="K37" s="13"/>
      <c r="L37" s="13"/>
      <c r="M37" s="13"/>
    </row>
    <row r="38" spans="1:21" x14ac:dyDescent="0.25">
      <c r="B38" s="4"/>
      <c r="C38" s="15"/>
      <c r="E38" s="61"/>
      <c r="I38" s="13"/>
    </row>
    <row r="39" spans="1:21" x14ac:dyDescent="0.25">
      <c r="B39" s="4"/>
      <c r="E39" s="61"/>
      <c r="I39" s="13"/>
      <c r="L39" s="13"/>
    </row>
    <row r="40" spans="1:21" x14ac:dyDescent="0.25">
      <c r="B40" s="4"/>
      <c r="E40" s="61"/>
    </row>
    <row r="41" spans="1:21" x14ac:dyDescent="0.25">
      <c r="B41" s="73"/>
    </row>
    <row r="48" spans="1:21" s="1" customFormat="1" x14ac:dyDescent="0.25">
      <c r="A48"/>
      <c r="B48"/>
      <c r="C48"/>
      <c r="D48"/>
      <c r="E48" s="13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5124-5EC6-48BF-BA7A-0BD9FEDE8B3C}">
  <sheetPr>
    <tabColor theme="4" tint="0.59999389629810485"/>
  </sheetPr>
  <dimension ref="A1:U57"/>
  <sheetViews>
    <sheetView zoomScale="98" zoomScaleNormal="98" workbookViewId="0">
      <selection activeCell="B9" sqref="B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58</v>
      </c>
      <c r="H2" s="21">
        <v>45235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0</v>
      </c>
      <c r="D8" s="29">
        <v>0</v>
      </c>
      <c r="E8" s="85">
        <f>B8+C8-D8</f>
        <v>0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22.629499999999901</v>
      </c>
      <c r="C9" s="28">
        <v>0</v>
      </c>
      <c r="D9" s="29">
        <v>0</v>
      </c>
      <c r="E9" s="85">
        <f>B9+C9-D9</f>
        <v>22.629499999999901</v>
      </c>
      <c r="F9" s="7">
        <v>0</v>
      </c>
      <c r="G9" s="3">
        <f t="shared" si="0"/>
        <v>0</v>
      </c>
      <c r="H9" s="97" t="e">
        <f t="shared" si="1"/>
        <v>#DIV/0!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02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9.0500000000000007</v>
      </c>
      <c r="D24" s="48">
        <v>0</v>
      </c>
      <c r="E24" s="49">
        <v>0</v>
      </c>
      <c r="F24" s="50">
        <v>0</v>
      </c>
      <c r="G24" s="48">
        <f t="shared" si="4"/>
        <v>9.0500000000000007</v>
      </c>
      <c r="H24" s="51">
        <v>0</v>
      </c>
      <c r="I24" s="52">
        <f t="shared" si="3"/>
        <v>9.0500000000000007</v>
      </c>
      <c r="J24" s="126">
        <v>0</v>
      </c>
      <c r="K24" s="134">
        <f>J24+0.15+0.07+0.1+0.12</f>
        <v>0.44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144.85</v>
      </c>
      <c r="D25" s="48">
        <v>0</v>
      </c>
      <c r="E25" s="49">
        <v>0</v>
      </c>
      <c r="F25" s="50">
        <v>0</v>
      </c>
      <c r="G25" s="48">
        <f t="shared" si="4"/>
        <v>144.85</v>
      </c>
      <c r="H25" s="51">
        <v>0</v>
      </c>
      <c r="I25" s="52">
        <f t="shared" si="3"/>
        <v>144.85</v>
      </c>
      <c r="J25" s="126">
        <v>0</v>
      </c>
      <c r="K25" s="134">
        <f>J25+0.08+0.09+0.06+0.02+0.08+0.05+0.03</f>
        <v>0.40999999999999992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126.3</v>
      </c>
      <c r="D26" s="2">
        <v>0</v>
      </c>
      <c r="E26" s="18">
        <v>0</v>
      </c>
      <c r="F26" s="47">
        <v>0</v>
      </c>
      <c r="G26" s="2">
        <f t="shared" si="4"/>
        <v>126.3</v>
      </c>
      <c r="H26" s="24">
        <v>0</v>
      </c>
      <c r="I26" s="17">
        <f t="shared" si="3"/>
        <v>126.3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885.95</v>
      </c>
      <c r="J35" s="140">
        <f>SUM(J22:J34)</f>
        <v>0</v>
      </c>
      <c r="K35" s="141">
        <f>SUM(K20:K34)</f>
        <v>0.84999999999999987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22BAD-729B-4F00-83E9-03347303C7FF}">
  <sheetPr>
    <tabColor theme="4" tint="0.59999389629810485"/>
  </sheetPr>
  <dimension ref="A1:U57"/>
  <sheetViews>
    <sheetView topLeftCell="A2" zoomScale="98" zoomScaleNormal="98" workbookViewId="0">
      <selection activeCell="F10" sqref="F10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59</v>
      </c>
      <c r="H2" s="21">
        <v>45236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0</v>
      </c>
      <c r="C8" s="28">
        <v>20.577999999999999</v>
      </c>
      <c r="D8" s="29">
        <v>0</v>
      </c>
      <c r="E8" s="85">
        <f>B8+C8-D8</f>
        <v>20.577999999999999</v>
      </c>
      <c r="F8" s="7">
        <v>0</v>
      </c>
      <c r="G8" s="3">
        <f>F8*0.05</f>
        <v>0</v>
      </c>
      <c r="H8" s="97" t="e">
        <f t="shared" si="1"/>
        <v>#DIV/0!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22.629499999999901</v>
      </c>
      <c r="C9" s="28">
        <v>19.696999999999999</v>
      </c>
      <c r="D9" s="29">
        <v>42.326500000000003</v>
      </c>
      <c r="E9" s="85">
        <f>B9+C9-D9</f>
        <v>-1.0658141036401503E-13</v>
      </c>
      <c r="F9" s="142">
        <v>205</v>
      </c>
      <c r="G9" s="3">
        <f t="shared" si="0"/>
        <v>10.25</v>
      </c>
      <c r="H9" s="97">
        <f t="shared" si="1"/>
        <v>4.1294146341463414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02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9.0500000000000007</v>
      </c>
      <c r="D24" s="48">
        <v>0</v>
      </c>
      <c r="E24" s="49">
        <v>0</v>
      </c>
      <c r="F24" s="50">
        <v>0</v>
      </c>
      <c r="G24" s="48">
        <f t="shared" si="4"/>
        <v>9.0500000000000007</v>
      </c>
      <c r="H24" s="51">
        <v>0</v>
      </c>
      <c r="I24" s="52">
        <f t="shared" si="3"/>
        <v>9.0500000000000007</v>
      </c>
      <c r="J24" s="126">
        <v>0</v>
      </c>
      <c r="K24" s="134">
        <f>J24+0.15+0.07+0.1+0.12</f>
        <v>0.44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144.85</v>
      </c>
      <c r="D25" s="48">
        <v>8.25</v>
      </c>
      <c r="E25" s="49">
        <v>0</v>
      </c>
      <c r="F25" s="50">
        <v>0</v>
      </c>
      <c r="G25" s="48">
        <f t="shared" si="4"/>
        <v>153.1</v>
      </c>
      <c r="H25" s="51">
        <v>0</v>
      </c>
      <c r="I25" s="52">
        <f t="shared" si="3"/>
        <v>153.1</v>
      </c>
      <c r="J25" s="126">
        <v>0.08</v>
      </c>
      <c r="K25" s="134">
        <f>J25+0.08+0.09+0.06+0.02+0.08+0.05+0.03</f>
        <v>0.49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126.3</v>
      </c>
      <c r="D26" s="2">
        <v>0</v>
      </c>
      <c r="E26" s="18">
        <v>30</v>
      </c>
      <c r="F26" s="47">
        <v>0</v>
      </c>
      <c r="G26" s="2">
        <f t="shared" si="4"/>
        <v>96.3</v>
      </c>
      <c r="H26" s="24">
        <v>0</v>
      </c>
      <c r="I26" s="17">
        <f t="shared" si="3"/>
        <v>96.3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864.2</v>
      </c>
      <c r="J35" s="140">
        <f>SUM(J22:J34)</f>
        <v>0.08</v>
      </c>
      <c r="K35" s="141">
        <f>SUM(K20:K34)</f>
        <v>0.92999999999999994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 t="s">
        <v>60</v>
      </c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61C9-6600-48D7-9A52-5C712DA71960}">
  <sheetPr>
    <tabColor theme="4" tint="0.59999389629810485"/>
  </sheetPr>
  <dimension ref="A1:U57"/>
  <sheetViews>
    <sheetView topLeftCell="A4" zoomScale="98" zoomScaleNormal="98" workbookViewId="0">
      <selection activeCell="G6" sqref="G6:G14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61</v>
      </c>
      <c r="H2" s="21">
        <v>45237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20.577999999999999</v>
      </c>
      <c r="C8" s="28">
        <v>15.257999999999999</v>
      </c>
      <c r="D8" s="29">
        <v>20.577999999999999</v>
      </c>
      <c r="E8" s="85">
        <f>B8+C8-D8</f>
        <v>15.257999999999999</v>
      </c>
      <c r="F8" s="7">
        <v>77</v>
      </c>
      <c r="G8" s="3">
        <f>F8*0.05</f>
        <v>3.85</v>
      </c>
      <c r="H8" s="97">
        <f t="shared" si="1"/>
        <v>5.3449350649350649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-1.0658141036401503E-13</v>
      </c>
      <c r="C9" s="28">
        <v>23.114999999999998</v>
      </c>
      <c r="D9" s="29">
        <v>21</v>
      </c>
      <c r="E9" s="85">
        <f>B9+C9-D9</f>
        <v>2.1149999999998919</v>
      </c>
      <c r="F9" s="142">
        <v>104</v>
      </c>
      <c r="G9" s="3">
        <f t="shared" si="0"/>
        <v>5.2</v>
      </c>
      <c r="H9" s="97">
        <f t="shared" si="1"/>
        <v>4.0384615384615383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0.60499999999999998</v>
      </c>
      <c r="D13" s="29">
        <v>0.60499999999999998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5.0869999999999997</v>
      </c>
      <c r="D14" s="100">
        <v>5.0869999999999997</v>
      </c>
      <c r="E14" s="101">
        <f t="shared" si="2"/>
        <v>0</v>
      </c>
      <c r="F14" s="143">
        <v>25</v>
      </c>
      <c r="G14" s="103">
        <f t="shared" si="0"/>
        <v>1.25</v>
      </c>
      <c r="H14" s="104">
        <f t="shared" si="1"/>
        <v>4.0695999999999994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9.0500000000000007</v>
      </c>
      <c r="D24" s="48">
        <v>0.65</v>
      </c>
      <c r="E24" s="49">
        <v>0</v>
      </c>
      <c r="F24" s="50">
        <v>0</v>
      </c>
      <c r="G24" s="48">
        <f t="shared" si="4"/>
        <v>9.7000000000000011</v>
      </c>
      <c r="H24" s="51">
        <v>0</v>
      </c>
      <c r="I24" s="52">
        <f t="shared" si="3"/>
        <v>9.7000000000000011</v>
      </c>
      <c r="J24" s="126">
        <v>0.13</v>
      </c>
      <c r="K24" s="134">
        <f>J24+0.15+0.07+0.1+0.12</f>
        <v>0.57000000000000006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153.1</v>
      </c>
      <c r="D25" s="48">
        <v>4.7</v>
      </c>
      <c r="E25" s="49">
        <v>0</v>
      </c>
      <c r="F25" s="50">
        <v>0</v>
      </c>
      <c r="G25" s="48">
        <f t="shared" si="4"/>
        <v>157.79999999999998</v>
      </c>
      <c r="H25" s="51">
        <v>0</v>
      </c>
      <c r="I25" s="52">
        <f t="shared" si="3"/>
        <v>157.79999999999998</v>
      </c>
      <c r="J25" s="126">
        <v>0.04</v>
      </c>
      <c r="K25" s="134">
        <f>J25+0.08+0.09+0.06+0.02+0.08+0.05+0.03+0.08</f>
        <v>0.53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96.3</v>
      </c>
      <c r="D26" s="2">
        <v>3.85</v>
      </c>
      <c r="E26" s="18">
        <v>0</v>
      </c>
      <c r="F26" s="47">
        <v>0</v>
      </c>
      <c r="G26" s="2">
        <f t="shared" si="4"/>
        <v>100.14999999999999</v>
      </c>
      <c r="H26" s="24">
        <v>0</v>
      </c>
      <c r="I26" s="17">
        <f t="shared" si="3"/>
        <v>100.14999999999999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873.4</v>
      </c>
      <c r="J35" s="140">
        <f>SUM(J22:J34)</f>
        <v>0.17</v>
      </c>
      <c r="K35" s="141">
        <f>SUM(K20:K34)</f>
        <v>1.1000000000000001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3962-E414-4C57-A252-48A5B062CD0A}">
  <sheetPr>
    <tabColor theme="4" tint="0.59999389629810485"/>
  </sheetPr>
  <dimension ref="A1:U57"/>
  <sheetViews>
    <sheetView zoomScale="98" zoomScaleNormal="98" workbookViewId="0">
      <selection activeCell="F9" sqref="F9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50</v>
      </c>
      <c r="H2" s="21">
        <v>45238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15.257999999999999</v>
      </c>
      <c r="C8" s="28">
        <v>11.560499999999999</v>
      </c>
      <c r="D8" s="29">
        <v>21.5</v>
      </c>
      <c r="E8" s="85">
        <f>B8+C8-D8</f>
        <v>5.3185000000000002</v>
      </c>
      <c r="F8" s="7">
        <v>71</v>
      </c>
      <c r="G8" s="3">
        <f>F8*0.05</f>
        <v>3.5500000000000003</v>
      </c>
      <c r="H8" s="97">
        <f t="shared" si="1"/>
        <v>6.056338028169014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2.1149999999998919</v>
      </c>
      <c r="C9" s="28">
        <v>30.8415</v>
      </c>
      <c r="D9" s="29">
        <v>32.956499999999998</v>
      </c>
      <c r="E9" s="85">
        <f>B9+C9-D9</f>
        <v>-1.0658141036401503E-13</v>
      </c>
      <c r="F9" s="142">
        <v>161</v>
      </c>
      <c r="G9" s="3">
        <f t="shared" si="0"/>
        <v>8.0500000000000007</v>
      </c>
      <c r="H9" s="97">
        <f t="shared" si="1"/>
        <v>4.0939751552795025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0</v>
      </c>
      <c r="D13" s="29">
        <v>0</v>
      </c>
      <c r="E13" s="85">
        <f t="shared" si="2"/>
        <v>0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9.7000000000000011</v>
      </c>
      <c r="D24" s="48">
        <v>0</v>
      </c>
      <c r="E24" s="49">
        <v>0</v>
      </c>
      <c r="F24" s="50">
        <v>0</v>
      </c>
      <c r="G24" s="48">
        <f t="shared" si="4"/>
        <v>9.7000000000000011</v>
      </c>
      <c r="H24" s="51">
        <v>0</v>
      </c>
      <c r="I24" s="52">
        <f t="shared" si="3"/>
        <v>9.7000000000000011</v>
      </c>
      <c r="J24" s="126">
        <v>0</v>
      </c>
      <c r="K24" s="134">
        <f>J24+0.15+0.07+0.1+0.12+0.13</f>
        <v>0.57000000000000006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157.79999999999998</v>
      </c>
      <c r="D25" s="48">
        <v>8.0500000000000007</v>
      </c>
      <c r="E25" s="49">
        <v>0</v>
      </c>
      <c r="F25" s="50">
        <v>0</v>
      </c>
      <c r="G25" s="48">
        <f t="shared" si="4"/>
        <v>165.85</v>
      </c>
      <c r="H25" s="51">
        <v>0</v>
      </c>
      <c r="I25" s="52">
        <f t="shared" si="3"/>
        <v>165.85</v>
      </c>
      <c r="J25" s="126">
        <v>0.08</v>
      </c>
      <c r="K25" s="134">
        <f>J25+0.08+0.09+0.06+0.02+0.08+0.05+0.03+0.08+0.04</f>
        <v>0.61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100.14999999999999</v>
      </c>
      <c r="D26" s="2">
        <v>3.55</v>
      </c>
      <c r="E26" s="18">
        <v>0</v>
      </c>
      <c r="F26" s="47">
        <v>0</v>
      </c>
      <c r="G26" s="2">
        <f t="shared" si="4"/>
        <v>103.69999999999999</v>
      </c>
      <c r="H26" s="24">
        <v>0</v>
      </c>
      <c r="I26" s="17">
        <f t="shared" si="3"/>
        <v>103.69999999999999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885</v>
      </c>
      <c r="J35" s="140">
        <f>SUM(J22:J34)</f>
        <v>0.08</v>
      </c>
      <c r="K35" s="141">
        <f>SUM(K20:K34)</f>
        <v>1.1800000000000002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/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CD46-D4F2-46FA-BBD2-31AEA30A38E4}">
  <sheetPr>
    <tabColor theme="4" tint="0.59999389629810485"/>
  </sheetPr>
  <dimension ref="A1:U57"/>
  <sheetViews>
    <sheetView topLeftCell="A17" zoomScale="98" zoomScaleNormal="98" workbookViewId="0">
      <selection activeCell="F10" sqref="F10"/>
    </sheetView>
  </sheetViews>
  <sheetFormatPr baseColWidth="10" defaultColWidth="11.42578125" defaultRowHeight="15" x14ac:dyDescent="0.25"/>
  <cols>
    <col min="1" max="1" width="12.85546875" customWidth="1"/>
    <col min="2" max="2" width="49.42578125" customWidth="1"/>
    <col min="3" max="3" width="18.85546875" customWidth="1"/>
    <col min="4" max="4" width="12.140625" customWidth="1"/>
    <col min="5" max="5" width="16.7109375" customWidth="1"/>
    <col min="6" max="6" width="12.140625" style="1" customWidth="1"/>
    <col min="7" max="7" width="11.7109375" customWidth="1"/>
    <col min="8" max="8" width="11.42578125" customWidth="1"/>
    <col min="9" max="9" width="14.85546875" bestFit="1" customWidth="1"/>
    <col min="10" max="10" width="11.85546875" customWidth="1"/>
    <col min="11" max="11" width="16" customWidth="1"/>
    <col min="12" max="12" width="14.140625" customWidth="1"/>
    <col min="13" max="13" width="16.28515625" customWidth="1"/>
    <col min="14" max="14" width="15.140625" customWidth="1"/>
  </cols>
  <sheetData>
    <row r="1" spans="1:20" x14ac:dyDescent="0.25">
      <c r="J1" s="14"/>
      <c r="K1" s="14"/>
    </row>
    <row r="2" spans="1:20" ht="24" customHeight="1" x14ac:dyDescent="0.35">
      <c r="A2" s="25"/>
      <c r="B2" s="44" t="s">
        <v>0</v>
      </c>
      <c r="C2" s="44"/>
      <c r="D2" s="44"/>
      <c r="E2" s="44"/>
      <c r="G2" s="22" t="s">
        <v>51</v>
      </c>
      <c r="H2" s="21">
        <v>45239</v>
      </c>
      <c r="J2" s="34"/>
      <c r="K2" s="35"/>
      <c r="L2" s="36"/>
      <c r="M2" s="14"/>
      <c r="N2" s="14"/>
    </row>
    <row r="3" spans="1:20" ht="24" customHeight="1" thickBot="1" x14ac:dyDescent="0.3">
      <c r="A3" s="25"/>
      <c r="B3" s="23"/>
      <c r="C3" s="23"/>
      <c r="D3" s="4"/>
      <c r="E3" s="11"/>
      <c r="J3" s="37"/>
      <c r="K3" s="37"/>
      <c r="L3" s="38"/>
      <c r="M3" s="14"/>
    </row>
    <row r="4" spans="1:20" ht="15.75" thickBot="1" x14ac:dyDescent="0.3">
      <c r="B4" s="86" t="s">
        <v>1</v>
      </c>
      <c r="C4" s="87"/>
      <c r="D4" s="87"/>
      <c r="E4" s="88"/>
      <c r="J4" s="72"/>
      <c r="K4" s="75"/>
      <c r="L4" s="14"/>
      <c r="M4" s="14"/>
      <c r="N4" s="14"/>
    </row>
    <row r="5" spans="1:20" x14ac:dyDescent="0.25">
      <c r="A5" s="89" t="s">
        <v>2</v>
      </c>
      <c r="B5" s="90" t="s">
        <v>3</v>
      </c>
      <c r="C5" s="91" t="s">
        <v>4</v>
      </c>
      <c r="D5" s="92" t="s">
        <v>5</v>
      </c>
      <c r="E5" s="93" t="s">
        <v>6</v>
      </c>
      <c r="F5" s="94" t="s">
        <v>7</v>
      </c>
      <c r="G5" s="94" t="s">
        <v>8</v>
      </c>
      <c r="H5" s="95" t="s">
        <v>9</v>
      </c>
      <c r="I5" s="76"/>
      <c r="J5" s="82"/>
      <c r="K5" s="14"/>
      <c r="L5" s="14"/>
      <c r="N5" s="25"/>
      <c r="O5" s="76"/>
      <c r="P5" s="76"/>
      <c r="Q5" s="76"/>
      <c r="R5" s="76"/>
      <c r="S5" s="76"/>
      <c r="T5" s="76"/>
    </row>
    <row r="6" spans="1:20" x14ac:dyDescent="0.25">
      <c r="A6" s="96" t="s">
        <v>10</v>
      </c>
      <c r="B6" s="8">
        <v>0</v>
      </c>
      <c r="C6" s="5">
        <v>0</v>
      </c>
      <c r="D6" s="6">
        <v>0</v>
      </c>
      <c r="E6" s="85">
        <f>B6+C6-D6</f>
        <v>0</v>
      </c>
      <c r="F6" s="7">
        <v>0</v>
      </c>
      <c r="G6" s="3">
        <f t="shared" ref="G6:G14" si="0">F6*0.05</f>
        <v>0</v>
      </c>
      <c r="H6" s="97" t="e">
        <f t="shared" ref="H6:H14" si="1">D6/G6</f>
        <v>#DIV/0!</v>
      </c>
      <c r="I6" s="53"/>
      <c r="J6" s="83"/>
      <c r="K6" s="53"/>
      <c r="L6" s="77"/>
      <c r="M6" s="25"/>
      <c r="N6" s="53"/>
      <c r="O6" s="53"/>
      <c r="P6" s="68"/>
      <c r="Q6" s="69"/>
      <c r="R6" s="71"/>
      <c r="S6" s="78"/>
      <c r="T6" s="79"/>
    </row>
    <row r="7" spans="1:20" x14ac:dyDescent="0.25">
      <c r="A7" s="96" t="s">
        <v>11</v>
      </c>
      <c r="B7" s="8">
        <v>0</v>
      </c>
      <c r="C7" s="28">
        <v>0</v>
      </c>
      <c r="D7" s="29">
        <v>0</v>
      </c>
      <c r="E7" s="85">
        <f t="shared" ref="E7:E14" si="2">B7+C7-D7</f>
        <v>0</v>
      </c>
      <c r="F7" s="7">
        <v>0</v>
      </c>
      <c r="G7" s="3">
        <f>F7*0.05</f>
        <v>0</v>
      </c>
      <c r="H7" s="97" t="e">
        <f t="shared" si="1"/>
        <v>#DIV/0!</v>
      </c>
      <c r="I7" s="53"/>
      <c r="J7" s="75"/>
      <c r="K7" s="53"/>
      <c r="L7" s="77"/>
      <c r="M7" s="25"/>
      <c r="N7" s="53"/>
      <c r="O7" s="80"/>
      <c r="P7" s="69"/>
      <c r="Q7" s="69"/>
      <c r="R7" s="71"/>
      <c r="S7" s="78"/>
      <c r="T7" s="79"/>
    </row>
    <row r="8" spans="1:20" x14ac:dyDescent="0.25">
      <c r="A8" s="96" t="s">
        <v>12</v>
      </c>
      <c r="B8" s="8">
        <v>5.3185000000000002</v>
      </c>
      <c r="C8" s="28">
        <v>19.078499999999998</v>
      </c>
      <c r="D8" s="29">
        <v>12</v>
      </c>
      <c r="E8" s="85">
        <f>B8+C8-D8</f>
        <v>12.396999999999998</v>
      </c>
      <c r="F8" s="7">
        <v>44</v>
      </c>
      <c r="G8" s="3">
        <f>F8*0.05</f>
        <v>2.2000000000000002</v>
      </c>
      <c r="H8" s="97">
        <f t="shared" si="1"/>
        <v>5.4545454545454541</v>
      </c>
      <c r="I8" s="53"/>
      <c r="J8" s="83"/>
      <c r="K8" s="14"/>
      <c r="L8" s="14"/>
      <c r="M8" s="14"/>
      <c r="N8" s="13"/>
      <c r="O8" s="14"/>
      <c r="R8" s="81"/>
      <c r="S8" s="20"/>
      <c r="T8" s="79"/>
    </row>
    <row r="9" spans="1:20" x14ac:dyDescent="0.25">
      <c r="A9" s="96" t="s">
        <v>13</v>
      </c>
      <c r="B9" s="8">
        <v>-1.0658141036401503E-13</v>
      </c>
      <c r="C9" s="28">
        <v>19.3675</v>
      </c>
      <c r="D9" s="29">
        <v>7.7</v>
      </c>
      <c r="E9" s="85">
        <f>B9+C9-D9</f>
        <v>11.667499999999894</v>
      </c>
      <c r="F9" s="142">
        <v>38</v>
      </c>
      <c r="G9" s="3">
        <f t="shared" si="0"/>
        <v>1.9000000000000001</v>
      </c>
      <c r="H9" s="97">
        <f t="shared" si="1"/>
        <v>4.0526315789473681</v>
      </c>
      <c r="I9" s="53"/>
      <c r="J9" s="84"/>
      <c r="K9" s="32"/>
      <c r="L9" s="32"/>
      <c r="M9" s="32"/>
      <c r="N9" s="13"/>
      <c r="O9" s="14"/>
      <c r="T9" s="19"/>
    </row>
    <row r="10" spans="1:20" x14ac:dyDescent="0.25">
      <c r="A10" s="96" t="s">
        <v>14</v>
      </c>
      <c r="B10" s="9">
        <v>0</v>
      </c>
      <c r="C10" s="30">
        <v>0</v>
      </c>
      <c r="D10" s="29">
        <v>0</v>
      </c>
      <c r="E10" s="85">
        <f t="shared" si="2"/>
        <v>0</v>
      </c>
      <c r="F10" s="7">
        <v>0</v>
      </c>
      <c r="G10" s="3">
        <f t="shared" si="0"/>
        <v>0</v>
      </c>
      <c r="H10" s="97" t="e">
        <f t="shared" si="1"/>
        <v>#DIV/0!</v>
      </c>
      <c r="I10" s="53"/>
      <c r="J10" s="14"/>
      <c r="K10" s="14"/>
      <c r="L10" s="14"/>
      <c r="M10" s="13"/>
    </row>
    <row r="11" spans="1:20" x14ac:dyDescent="0.25">
      <c r="A11" s="96" t="s">
        <v>15</v>
      </c>
      <c r="B11" s="9">
        <v>0</v>
      </c>
      <c r="C11" s="30">
        <v>0</v>
      </c>
      <c r="D11" s="29">
        <v>0</v>
      </c>
      <c r="E11" s="85">
        <f t="shared" si="2"/>
        <v>0</v>
      </c>
      <c r="F11" s="7">
        <v>0</v>
      </c>
      <c r="G11" s="3">
        <f t="shared" si="0"/>
        <v>0</v>
      </c>
      <c r="H11" s="97" t="e">
        <f t="shared" si="1"/>
        <v>#DIV/0!</v>
      </c>
      <c r="I11" s="53"/>
      <c r="J11" s="14"/>
      <c r="K11" s="14"/>
      <c r="L11" s="14"/>
      <c r="M11" s="13"/>
    </row>
    <row r="12" spans="1:20" x14ac:dyDescent="0.25">
      <c r="A12" s="96" t="s">
        <v>16</v>
      </c>
      <c r="B12" s="9">
        <v>0</v>
      </c>
      <c r="C12" s="30">
        <v>0</v>
      </c>
      <c r="D12" s="29">
        <v>0</v>
      </c>
      <c r="E12" s="85">
        <f>B12+C12-D12</f>
        <v>0</v>
      </c>
      <c r="F12" s="7">
        <v>0</v>
      </c>
      <c r="G12" s="3">
        <f t="shared" si="0"/>
        <v>0</v>
      </c>
      <c r="H12" s="97" t="e">
        <f t="shared" si="1"/>
        <v>#DIV/0!</v>
      </c>
      <c r="I12" s="53"/>
      <c r="J12" s="14"/>
      <c r="K12" s="14"/>
      <c r="L12" s="14"/>
      <c r="M12" s="13"/>
    </row>
    <row r="13" spans="1:20" x14ac:dyDescent="0.25">
      <c r="A13" s="96" t="s">
        <v>55</v>
      </c>
      <c r="B13" s="9">
        <v>0</v>
      </c>
      <c r="C13" s="30">
        <v>1.4690000000000001</v>
      </c>
      <c r="D13" s="29">
        <v>0</v>
      </c>
      <c r="E13" s="85">
        <f t="shared" si="2"/>
        <v>1.4690000000000001</v>
      </c>
      <c r="F13" s="7">
        <v>0</v>
      </c>
      <c r="G13" s="3">
        <f t="shared" si="0"/>
        <v>0</v>
      </c>
      <c r="H13" s="97" t="e">
        <f t="shared" si="1"/>
        <v>#DIV/0!</v>
      </c>
      <c r="I13" s="53"/>
      <c r="J13" s="14"/>
      <c r="K13" s="14"/>
      <c r="L13" s="14"/>
      <c r="M13" s="13"/>
    </row>
    <row r="14" spans="1:20" ht="27.75" customHeight="1" thickBot="1" x14ac:dyDescent="0.3">
      <c r="A14" s="98" t="s">
        <v>18</v>
      </c>
      <c r="B14" s="99">
        <v>0</v>
      </c>
      <c r="C14" s="100">
        <v>0</v>
      </c>
      <c r="D14" s="100">
        <v>0</v>
      </c>
      <c r="E14" s="101">
        <f t="shared" si="2"/>
        <v>0</v>
      </c>
      <c r="F14" s="143">
        <v>0</v>
      </c>
      <c r="G14" s="103">
        <f t="shared" si="0"/>
        <v>0</v>
      </c>
      <c r="H14" s="104" t="e">
        <f t="shared" si="1"/>
        <v>#DIV/0!</v>
      </c>
      <c r="I14" s="59"/>
      <c r="J14" s="14"/>
      <c r="K14" s="20"/>
      <c r="L14" s="14"/>
      <c r="M14" s="19"/>
      <c r="N14" s="31"/>
    </row>
    <row r="15" spans="1:20" ht="15.75" customHeight="1" x14ac:dyDescent="0.25">
      <c r="A15" s="67"/>
      <c r="B15" s="68"/>
      <c r="C15" s="69"/>
      <c r="D15" s="70"/>
      <c r="E15" s="69"/>
      <c r="F15" s="71"/>
      <c r="G15" s="78"/>
      <c r="H15" s="79"/>
      <c r="I15" s="59"/>
      <c r="J15" s="14"/>
      <c r="K15" s="20"/>
      <c r="L15" s="144"/>
      <c r="M15" s="144"/>
      <c r="N15" s="145"/>
      <c r="O15" s="145"/>
      <c r="P15" s="145"/>
      <c r="Q15" s="145"/>
      <c r="R15" s="1"/>
    </row>
    <row r="16" spans="1:20" ht="15.75" customHeight="1" thickBot="1" x14ac:dyDescent="0.3">
      <c r="A16" s="67"/>
      <c r="B16" s="68"/>
      <c r="C16" s="69"/>
      <c r="D16" s="70"/>
      <c r="E16" s="69"/>
      <c r="F16" s="71"/>
      <c r="G16" s="78"/>
      <c r="H16" s="79"/>
      <c r="I16" s="59"/>
      <c r="J16" s="14"/>
      <c r="K16" s="14"/>
      <c r="L16" s="53"/>
      <c r="N16" s="25"/>
      <c r="O16" s="76"/>
      <c r="P16" s="76"/>
      <c r="Q16" s="76"/>
      <c r="R16" s="76"/>
      <c r="S16" s="76"/>
      <c r="T16" s="76"/>
    </row>
    <row r="17" spans="2:21" ht="15.75" customHeight="1" thickBot="1" x14ac:dyDescent="0.3">
      <c r="B17" s="146" t="s">
        <v>53</v>
      </c>
      <c r="C17" s="147"/>
      <c r="D17" s="147"/>
      <c r="E17" s="148"/>
      <c r="F17" s="71"/>
      <c r="G17" s="78"/>
      <c r="H17" s="79"/>
      <c r="I17" s="59"/>
      <c r="J17" s="14"/>
      <c r="K17" s="14"/>
      <c r="L17" s="14"/>
    </row>
    <row r="18" spans="2:21" ht="26.25" customHeight="1" x14ac:dyDescent="0.25">
      <c r="B18" s="107" t="s">
        <v>19</v>
      </c>
      <c r="C18" s="108" t="s">
        <v>20</v>
      </c>
      <c r="D18" s="108" t="s">
        <v>21</v>
      </c>
      <c r="E18" s="109" t="s">
        <v>22</v>
      </c>
      <c r="F18" s="109" t="s">
        <v>23</v>
      </c>
      <c r="G18" s="108" t="s">
        <v>24</v>
      </c>
      <c r="H18" s="110" t="s">
        <v>25</v>
      </c>
      <c r="I18" s="111" t="s">
        <v>26</v>
      </c>
      <c r="J18" s="149" t="s">
        <v>27</v>
      </c>
      <c r="K18" s="128" t="s">
        <v>28</v>
      </c>
      <c r="L18" s="129" t="s">
        <v>29</v>
      </c>
      <c r="M18" s="129" t="s">
        <v>30</v>
      </c>
      <c r="N18" s="130" t="s">
        <v>31</v>
      </c>
      <c r="O18" s="4"/>
    </row>
    <row r="19" spans="2:21" x14ac:dyDescent="0.25">
      <c r="B19" s="112"/>
      <c r="C19" s="41"/>
      <c r="D19" s="41"/>
      <c r="E19" s="40"/>
      <c r="F19" s="40"/>
      <c r="G19" s="41"/>
      <c r="H19" s="42"/>
      <c r="I19" s="43"/>
      <c r="J19" s="150"/>
      <c r="K19" s="128"/>
      <c r="L19" s="129"/>
      <c r="M19" s="129"/>
      <c r="N19" s="130" t="s">
        <v>32</v>
      </c>
      <c r="O19" s="4"/>
      <c r="U19" s="45"/>
    </row>
    <row r="20" spans="2:21" x14ac:dyDescent="0.25">
      <c r="B20" s="113" t="s">
        <v>33</v>
      </c>
      <c r="C20" s="2">
        <v>16.5</v>
      </c>
      <c r="D20" s="2">
        <v>0</v>
      </c>
      <c r="E20" s="18">
        <v>0</v>
      </c>
      <c r="F20" s="47">
        <v>0</v>
      </c>
      <c r="G20" s="2">
        <f>C20+D20-E20+F20</f>
        <v>16.5</v>
      </c>
      <c r="H20" s="24">
        <v>0</v>
      </c>
      <c r="I20" s="17">
        <f t="shared" ref="I20:I34" si="3">G20-H20</f>
        <v>16.5</v>
      </c>
      <c r="J20" s="125"/>
      <c r="K20" s="131"/>
      <c r="L20" s="132"/>
      <c r="M20" s="133"/>
      <c r="N20" s="10"/>
      <c r="O20" s="45"/>
      <c r="U20" s="45"/>
    </row>
    <row r="21" spans="2:21" x14ac:dyDescent="0.25">
      <c r="B21" s="113" t="s">
        <v>34</v>
      </c>
      <c r="C21" s="2">
        <v>0</v>
      </c>
      <c r="D21" s="2">
        <v>0</v>
      </c>
      <c r="E21" s="18">
        <v>0</v>
      </c>
      <c r="F21" s="47">
        <v>0</v>
      </c>
      <c r="G21" s="2">
        <f t="shared" ref="G21:G34" si="4">C21+D21-E21+F21</f>
        <v>0</v>
      </c>
      <c r="H21" s="24">
        <v>0</v>
      </c>
      <c r="I21" s="17">
        <f t="shared" si="3"/>
        <v>0</v>
      </c>
      <c r="J21" s="125"/>
      <c r="K21" s="131"/>
      <c r="L21" s="132"/>
      <c r="M21" s="133"/>
      <c r="N21" s="10"/>
      <c r="O21" s="45"/>
      <c r="U21" s="45"/>
    </row>
    <row r="22" spans="2:21" ht="15.75" x14ac:dyDescent="0.25">
      <c r="B22" s="114" t="s">
        <v>35</v>
      </c>
      <c r="C22" s="48">
        <v>1.25</v>
      </c>
      <c r="D22" s="48">
        <v>0</v>
      </c>
      <c r="E22" s="49">
        <v>0</v>
      </c>
      <c r="F22" s="50">
        <v>0</v>
      </c>
      <c r="G22" s="48">
        <f t="shared" si="4"/>
        <v>1.25</v>
      </c>
      <c r="H22" s="51">
        <v>0</v>
      </c>
      <c r="I22" s="52">
        <f t="shared" si="3"/>
        <v>1.25</v>
      </c>
      <c r="J22" s="126">
        <v>0</v>
      </c>
      <c r="K22" s="134">
        <v>0</v>
      </c>
      <c r="L22" s="135">
        <v>0</v>
      </c>
      <c r="M22" s="136">
        <v>0</v>
      </c>
      <c r="N22" s="137">
        <v>0</v>
      </c>
      <c r="O22" s="46"/>
      <c r="U22" s="46"/>
    </row>
    <row r="23" spans="2:21" ht="15.75" x14ac:dyDescent="0.25">
      <c r="B23" s="115" t="s">
        <v>36</v>
      </c>
      <c r="C23" s="2">
        <v>0</v>
      </c>
      <c r="D23" s="2">
        <v>0</v>
      </c>
      <c r="E23" s="18">
        <v>0</v>
      </c>
      <c r="F23" s="47">
        <v>0</v>
      </c>
      <c r="G23" s="2">
        <f t="shared" si="4"/>
        <v>0</v>
      </c>
      <c r="H23" s="24">
        <v>0</v>
      </c>
      <c r="I23" s="17">
        <f t="shared" si="3"/>
        <v>0</v>
      </c>
      <c r="J23" s="125">
        <v>0</v>
      </c>
      <c r="K23" s="138">
        <f>J23</f>
        <v>0</v>
      </c>
      <c r="L23" s="138">
        <v>0</v>
      </c>
      <c r="M23" s="139">
        <f>K23-L23</f>
        <v>0</v>
      </c>
      <c r="N23" s="137">
        <v>0</v>
      </c>
      <c r="O23" s="45"/>
      <c r="U23" s="45"/>
    </row>
    <row r="24" spans="2:21" ht="15.75" x14ac:dyDescent="0.25">
      <c r="B24" s="114" t="s">
        <v>37</v>
      </c>
      <c r="C24" s="48">
        <v>9.7000000000000011</v>
      </c>
      <c r="D24" s="48">
        <v>0</v>
      </c>
      <c r="E24" s="49">
        <v>0</v>
      </c>
      <c r="F24" s="50">
        <v>0</v>
      </c>
      <c r="G24" s="48">
        <f t="shared" si="4"/>
        <v>9.7000000000000011</v>
      </c>
      <c r="H24" s="51">
        <v>0</v>
      </c>
      <c r="I24" s="52">
        <f t="shared" si="3"/>
        <v>9.7000000000000011</v>
      </c>
      <c r="J24" s="126">
        <v>0</v>
      </c>
      <c r="K24" s="134">
        <f>J24+0.15+0.07+0.1+0.12+0.13</f>
        <v>0.57000000000000006</v>
      </c>
      <c r="L24" s="134">
        <v>0</v>
      </c>
      <c r="M24" s="136">
        <v>0</v>
      </c>
      <c r="N24" s="137">
        <v>0</v>
      </c>
      <c r="O24" s="45"/>
      <c r="U24" s="45"/>
    </row>
    <row r="25" spans="2:21" ht="15.75" x14ac:dyDescent="0.25">
      <c r="B25" s="114" t="s">
        <v>38</v>
      </c>
      <c r="C25" s="48">
        <v>165.85</v>
      </c>
      <c r="D25" s="48">
        <v>1.6</v>
      </c>
      <c r="E25" s="49">
        <v>0</v>
      </c>
      <c r="F25" s="50">
        <v>0</v>
      </c>
      <c r="G25" s="48">
        <f t="shared" si="4"/>
        <v>167.45</v>
      </c>
      <c r="H25" s="51">
        <v>0</v>
      </c>
      <c r="I25" s="52">
        <f t="shared" si="3"/>
        <v>167.45</v>
      </c>
      <c r="J25" s="126">
        <v>0.02</v>
      </c>
      <c r="K25" s="134">
        <f>J25+0.08+0.09+0.06+0.02+0.08+0.05+0.03+0.08+0.04+0.08</f>
        <v>0.63</v>
      </c>
      <c r="L25" s="134">
        <v>0</v>
      </c>
      <c r="M25" s="136">
        <v>0</v>
      </c>
      <c r="N25" s="137">
        <v>0</v>
      </c>
      <c r="O25" s="45"/>
      <c r="U25" s="45"/>
    </row>
    <row r="26" spans="2:21" ht="15.75" x14ac:dyDescent="0.25">
      <c r="B26" s="115" t="s">
        <v>39</v>
      </c>
      <c r="C26" s="2">
        <v>103.69999999999999</v>
      </c>
      <c r="D26" s="2">
        <v>2.2000000000000002</v>
      </c>
      <c r="E26" s="18">
        <v>0</v>
      </c>
      <c r="F26" s="47">
        <v>0</v>
      </c>
      <c r="G26" s="2">
        <f t="shared" si="4"/>
        <v>105.89999999999999</v>
      </c>
      <c r="H26" s="24">
        <v>0</v>
      </c>
      <c r="I26" s="17">
        <f t="shared" si="3"/>
        <v>105.89999999999999</v>
      </c>
      <c r="J26" s="125">
        <v>0</v>
      </c>
      <c r="K26" s="138">
        <v>0</v>
      </c>
      <c r="L26" s="138">
        <v>0</v>
      </c>
      <c r="M26" s="139">
        <f t="shared" ref="M26:M33" si="5">K26-L26</f>
        <v>0</v>
      </c>
      <c r="N26" s="137">
        <v>0</v>
      </c>
      <c r="O26" s="45"/>
      <c r="U26" s="45"/>
    </row>
    <row r="27" spans="2:21" ht="15.75" x14ac:dyDescent="0.25">
      <c r="B27" s="116" t="s">
        <v>40</v>
      </c>
      <c r="C27" s="2">
        <v>0</v>
      </c>
      <c r="D27" s="2">
        <v>0</v>
      </c>
      <c r="E27" s="18">
        <v>0</v>
      </c>
      <c r="F27" s="47">
        <v>0</v>
      </c>
      <c r="G27" s="2">
        <f t="shared" si="4"/>
        <v>0</v>
      </c>
      <c r="H27" s="24">
        <v>0</v>
      </c>
      <c r="I27" s="17">
        <f t="shared" si="3"/>
        <v>0</v>
      </c>
      <c r="J27" s="125">
        <v>0</v>
      </c>
      <c r="K27" s="138">
        <f t="shared" ref="K27:K33" si="6">J27</f>
        <v>0</v>
      </c>
      <c r="L27" s="138">
        <v>0</v>
      </c>
      <c r="M27" s="139">
        <f t="shared" si="5"/>
        <v>0</v>
      </c>
      <c r="N27" s="137">
        <v>0</v>
      </c>
    </row>
    <row r="28" spans="2:21" ht="15.75" x14ac:dyDescent="0.25">
      <c r="B28" s="115" t="s">
        <v>41</v>
      </c>
      <c r="C28" s="2">
        <v>315</v>
      </c>
      <c r="D28" s="2">
        <v>0</v>
      </c>
      <c r="E28" s="18">
        <v>0</v>
      </c>
      <c r="F28" s="47">
        <v>0</v>
      </c>
      <c r="G28" s="2">
        <f t="shared" si="4"/>
        <v>315</v>
      </c>
      <c r="H28" s="24">
        <v>0</v>
      </c>
      <c r="I28" s="17">
        <f t="shared" si="3"/>
        <v>315</v>
      </c>
      <c r="J28" s="125">
        <v>0</v>
      </c>
      <c r="K28" s="138">
        <f t="shared" si="6"/>
        <v>0</v>
      </c>
      <c r="L28" s="138">
        <v>0</v>
      </c>
      <c r="M28" s="139">
        <f t="shared" si="5"/>
        <v>0</v>
      </c>
      <c r="N28" s="137">
        <v>0</v>
      </c>
    </row>
    <row r="29" spans="2:21" ht="15.75" x14ac:dyDescent="0.25">
      <c r="B29" s="117" t="s">
        <v>42</v>
      </c>
      <c r="C29" s="54">
        <v>263.25</v>
      </c>
      <c r="D29" s="54">
        <v>0</v>
      </c>
      <c r="E29" s="55">
        <v>0</v>
      </c>
      <c r="F29" s="56">
        <v>0</v>
      </c>
      <c r="G29" s="2">
        <f t="shared" si="4"/>
        <v>263.25</v>
      </c>
      <c r="H29" s="24">
        <v>0</v>
      </c>
      <c r="I29" s="17">
        <f t="shared" si="3"/>
        <v>263.25</v>
      </c>
      <c r="J29" s="125">
        <v>0</v>
      </c>
      <c r="K29" s="138">
        <f t="shared" si="6"/>
        <v>0</v>
      </c>
      <c r="L29" s="138">
        <v>0</v>
      </c>
      <c r="M29" s="139">
        <f t="shared" si="5"/>
        <v>0</v>
      </c>
      <c r="N29" s="137">
        <v>0</v>
      </c>
    </row>
    <row r="30" spans="2:21" ht="15.75" x14ac:dyDescent="0.25">
      <c r="B30" s="117" t="s">
        <v>43</v>
      </c>
      <c r="C30" s="54">
        <v>0</v>
      </c>
      <c r="D30" s="54">
        <v>0</v>
      </c>
      <c r="E30" s="55">
        <v>0</v>
      </c>
      <c r="F30" s="56">
        <v>0</v>
      </c>
      <c r="G30" s="2">
        <f t="shared" si="4"/>
        <v>0</v>
      </c>
      <c r="H30" s="24">
        <v>0</v>
      </c>
      <c r="I30" s="17">
        <f t="shared" si="3"/>
        <v>0</v>
      </c>
      <c r="J30" s="125">
        <v>0</v>
      </c>
      <c r="K30" s="138">
        <f t="shared" si="6"/>
        <v>0</v>
      </c>
      <c r="L30" s="138">
        <v>0</v>
      </c>
      <c r="M30" s="139">
        <f t="shared" si="5"/>
        <v>0</v>
      </c>
      <c r="N30" s="137">
        <v>0</v>
      </c>
    </row>
    <row r="31" spans="2:21" ht="15.75" x14ac:dyDescent="0.25">
      <c r="B31" s="115" t="s">
        <v>44</v>
      </c>
      <c r="C31" s="2">
        <v>0</v>
      </c>
      <c r="D31" s="2">
        <v>0</v>
      </c>
      <c r="E31" s="18">
        <v>0</v>
      </c>
      <c r="F31" s="47">
        <v>0</v>
      </c>
      <c r="G31" s="2">
        <f t="shared" si="4"/>
        <v>0</v>
      </c>
      <c r="H31" s="24">
        <v>0</v>
      </c>
      <c r="I31" s="17">
        <f t="shared" si="3"/>
        <v>0</v>
      </c>
      <c r="J31" s="125">
        <v>0</v>
      </c>
      <c r="K31" s="138">
        <f t="shared" si="6"/>
        <v>0</v>
      </c>
      <c r="L31" s="138">
        <v>0</v>
      </c>
      <c r="M31" s="139">
        <f t="shared" si="5"/>
        <v>0</v>
      </c>
      <c r="N31" s="137">
        <v>0</v>
      </c>
    </row>
    <row r="32" spans="2:21" ht="15.75" x14ac:dyDescent="0.25">
      <c r="B32" s="115" t="s">
        <v>49</v>
      </c>
      <c r="C32" s="2">
        <v>0</v>
      </c>
      <c r="D32" s="2">
        <v>0</v>
      </c>
      <c r="E32" s="18">
        <v>0</v>
      </c>
      <c r="F32" s="47">
        <v>0</v>
      </c>
      <c r="G32" s="2">
        <f t="shared" si="4"/>
        <v>0</v>
      </c>
      <c r="H32" s="24">
        <v>0</v>
      </c>
      <c r="I32" s="17">
        <f t="shared" si="3"/>
        <v>0</v>
      </c>
      <c r="J32" s="125">
        <v>0</v>
      </c>
      <c r="K32" s="138">
        <f t="shared" si="6"/>
        <v>0</v>
      </c>
      <c r="L32" s="138">
        <v>0</v>
      </c>
      <c r="M32" s="139">
        <f t="shared" si="5"/>
        <v>0</v>
      </c>
      <c r="N32" s="137">
        <v>0</v>
      </c>
    </row>
    <row r="33" spans="2:15" ht="15.75" x14ac:dyDescent="0.25">
      <c r="B33" s="118" t="s">
        <v>48</v>
      </c>
      <c r="C33" s="2">
        <v>0</v>
      </c>
      <c r="D33" s="2">
        <v>0</v>
      </c>
      <c r="E33" s="18">
        <v>0</v>
      </c>
      <c r="F33" s="47">
        <v>0</v>
      </c>
      <c r="G33" s="2">
        <f t="shared" si="4"/>
        <v>0</v>
      </c>
      <c r="H33" s="24">
        <v>0</v>
      </c>
      <c r="I33" s="17">
        <f t="shared" si="3"/>
        <v>0</v>
      </c>
      <c r="J33" s="125">
        <v>0</v>
      </c>
      <c r="K33" s="138">
        <f t="shared" si="6"/>
        <v>0</v>
      </c>
      <c r="L33" s="138">
        <v>0</v>
      </c>
      <c r="M33" s="139">
        <f t="shared" si="5"/>
        <v>0</v>
      </c>
      <c r="N33" s="137">
        <v>0</v>
      </c>
    </row>
    <row r="34" spans="2:15" ht="16.5" thickBot="1" x14ac:dyDescent="0.3">
      <c r="B34" s="119" t="s">
        <v>45</v>
      </c>
      <c r="C34" s="120">
        <v>9.75</v>
      </c>
      <c r="D34" s="120">
        <v>0</v>
      </c>
      <c r="E34" s="121">
        <v>0</v>
      </c>
      <c r="F34" s="122">
        <v>0</v>
      </c>
      <c r="G34" s="120">
        <f t="shared" si="4"/>
        <v>9.75</v>
      </c>
      <c r="H34" s="123">
        <v>0</v>
      </c>
      <c r="I34" s="124">
        <f t="shared" si="3"/>
        <v>9.75</v>
      </c>
      <c r="J34" s="127">
        <v>0</v>
      </c>
      <c r="K34" s="134">
        <v>0</v>
      </c>
      <c r="L34" s="134">
        <v>0</v>
      </c>
      <c r="M34" s="136">
        <v>0</v>
      </c>
      <c r="N34" s="137">
        <v>0</v>
      </c>
    </row>
    <row r="35" spans="2:15" ht="16.5" thickBot="1" x14ac:dyDescent="0.3">
      <c r="C35" s="13"/>
      <c r="D35" s="20"/>
      <c r="E35" s="13"/>
      <c r="G35" s="13"/>
      <c r="H35" s="105" t="s">
        <v>46</v>
      </c>
      <c r="I35" s="106">
        <f>SUM(I20:I34)</f>
        <v>888.8</v>
      </c>
      <c r="J35" s="140">
        <f>SUM(J22:J34)</f>
        <v>0.02</v>
      </c>
      <c r="K35" s="141">
        <f>SUM(K20:K34)</f>
        <v>1.2000000000000002</v>
      </c>
      <c r="L35" s="141">
        <f>SUM(L20:L34)</f>
        <v>0</v>
      </c>
      <c r="M35" s="139">
        <f>SUM(M20:M34)</f>
        <v>0</v>
      </c>
      <c r="N35" s="58"/>
    </row>
    <row r="36" spans="2:15" ht="15.75" x14ac:dyDescent="0.25">
      <c r="B36" s="22"/>
      <c r="C36" s="13"/>
      <c r="D36" s="20"/>
      <c r="E36" s="13"/>
      <c r="G36" s="13"/>
      <c r="H36" s="4"/>
      <c r="I36" s="66"/>
      <c r="J36" s="66"/>
      <c r="K36" s="64"/>
      <c r="L36" s="64"/>
      <c r="M36" s="65"/>
      <c r="N36" s="53"/>
    </row>
    <row r="37" spans="2:15" x14ac:dyDescent="0.25">
      <c r="B37" s="4" t="s">
        <v>47</v>
      </c>
      <c r="C37" s="60"/>
      <c r="D37" s="57"/>
      <c r="E37" s="16"/>
      <c r="I37" s="20"/>
      <c r="J37" s="12"/>
      <c r="K37" s="20"/>
      <c r="L37" s="20"/>
      <c r="M37" s="25"/>
      <c r="N37" s="39"/>
      <c r="O37" s="20"/>
    </row>
    <row r="38" spans="2:15" x14ac:dyDescent="0.25">
      <c r="B38" s="33" t="s">
        <v>62</v>
      </c>
      <c r="C38" s="15"/>
      <c r="D38" s="57"/>
      <c r="E38" s="61"/>
      <c r="F38" s="16"/>
      <c r="G38" s="13"/>
      <c r="H38" s="13"/>
      <c r="I38" s="13"/>
      <c r="J38" s="63"/>
      <c r="K38" s="20"/>
      <c r="L38" s="20"/>
      <c r="M38" s="25"/>
      <c r="N38" s="39"/>
      <c r="O38" s="20"/>
    </row>
    <row r="39" spans="2:15" x14ac:dyDescent="0.25">
      <c r="B39" s="4"/>
      <c r="C39" s="15"/>
      <c r="D39" s="4"/>
      <c r="E39" s="25"/>
      <c r="I39" s="13"/>
      <c r="K39" s="13"/>
      <c r="L39" s="13"/>
      <c r="M39" s="13"/>
    </row>
    <row r="40" spans="2:15" x14ac:dyDescent="0.25">
      <c r="B40" s="4"/>
      <c r="C40" s="15"/>
      <c r="E40" s="61"/>
      <c r="I40" s="13"/>
    </row>
    <row r="41" spans="2:15" x14ac:dyDescent="0.25">
      <c r="B41" s="4"/>
      <c r="E41" s="61"/>
      <c r="I41" s="13"/>
      <c r="L41" s="13"/>
    </row>
    <row r="42" spans="2:15" x14ac:dyDescent="0.25">
      <c r="B42" s="4"/>
      <c r="E42" s="61"/>
      <c r="I42" s="13"/>
    </row>
    <row r="43" spans="2:15" x14ac:dyDescent="0.25">
      <c r="E43" s="25"/>
    </row>
    <row r="44" spans="2:15" x14ac:dyDescent="0.25">
      <c r="E44" s="25"/>
      <c r="F44" s="62"/>
      <c r="H44" s="13"/>
      <c r="I44" s="13"/>
    </row>
    <row r="45" spans="2:15" x14ac:dyDescent="0.25">
      <c r="E45" s="25"/>
    </row>
    <row r="46" spans="2:15" x14ac:dyDescent="0.25">
      <c r="B46" s="25"/>
      <c r="C46" s="25"/>
      <c r="D46" s="25"/>
      <c r="E46" s="25"/>
      <c r="F46" s="25"/>
    </row>
    <row r="47" spans="2:15" x14ac:dyDescent="0.25">
      <c r="B47" s="25"/>
      <c r="C47" s="25"/>
      <c r="D47" s="74"/>
      <c r="E47" s="74"/>
      <c r="F47" s="25"/>
    </row>
    <row r="48" spans="2:15" x14ac:dyDescent="0.25">
      <c r="B48" s="25"/>
      <c r="C48" s="25"/>
      <c r="D48" s="74"/>
      <c r="E48" s="74"/>
      <c r="F48" s="25"/>
    </row>
    <row r="50" spans="1:21" x14ac:dyDescent="0.25">
      <c r="B50" s="73"/>
    </row>
    <row r="57" spans="1:21" s="1" customFormat="1" x14ac:dyDescent="0.25">
      <c r="A57"/>
      <c r="B57"/>
      <c r="C57"/>
      <c r="D57"/>
      <c r="E57" s="13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</sheetData>
  <mergeCells count="4">
    <mergeCell ref="L15:M15"/>
    <mergeCell ref="N15:Q15"/>
    <mergeCell ref="B17:E17"/>
    <mergeCell ref="J18:J19"/>
  </mergeCells>
  <printOptions horizontalCentered="1"/>
  <pageMargins left="0" right="0" top="0.15748031496062992" bottom="0.15748031496062992" header="0.31496062992125984" footer="0.31496062992125984"/>
  <pageSetup scale="6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47</vt:i4>
      </vt:variant>
    </vt:vector>
  </HeadingPairs>
  <TitlesOfParts>
    <vt:vector size="47" baseType="lpstr">
      <vt:lpstr>01-11</vt:lpstr>
      <vt:lpstr>02-11 </vt:lpstr>
      <vt:lpstr>03-11 </vt:lpstr>
      <vt:lpstr>04-11</vt:lpstr>
      <vt:lpstr>05-11 </vt:lpstr>
      <vt:lpstr>06-11 </vt:lpstr>
      <vt:lpstr>07-11 </vt:lpstr>
      <vt:lpstr>08-11 </vt:lpstr>
      <vt:lpstr>09-11 </vt:lpstr>
      <vt:lpstr>10-11 </vt:lpstr>
      <vt:lpstr>11-11  </vt:lpstr>
      <vt:lpstr>12-11  </vt:lpstr>
      <vt:lpstr>13 -11   </vt:lpstr>
      <vt:lpstr>14 -11    </vt:lpstr>
      <vt:lpstr>15 -11 </vt:lpstr>
      <vt:lpstr>16 -11 </vt:lpstr>
      <vt:lpstr>17 -11</vt:lpstr>
      <vt:lpstr>18 -11 </vt:lpstr>
      <vt:lpstr>19 -11 </vt:lpstr>
      <vt:lpstr>20 -11 </vt:lpstr>
      <vt:lpstr>21 -11</vt:lpstr>
      <vt:lpstr>22 -11 </vt:lpstr>
      <vt:lpstr>23 -11  </vt:lpstr>
      <vt:lpstr>24 -11  </vt:lpstr>
      <vt:lpstr>25 -11</vt:lpstr>
      <vt:lpstr>26 -11</vt:lpstr>
      <vt:lpstr>27 -11 </vt:lpstr>
      <vt:lpstr>28 -11</vt:lpstr>
      <vt:lpstr>29 -11 </vt:lpstr>
      <vt:lpstr>30 -11 </vt:lpstr>
      <vt:lpstr>01-12</vt:lpstr>
      <vt:lpstr>02-12 </vt:lpstr>
      <vt:lpstr>03-12 </vt:lpstr>
      <vt:lpstr>04-12 </vt:lpstr>
      <vt:lpstr>05-12 </vt:lpstr>
      <vt:lpstr>06-12  </vt:lpstr>
      <vt:lpstr>07-12  </vt:lpstr>
      <vt:lpstr>08-12  </vt:lpstr>
      <vt:lpstr>09-12  </vt:lpstr>
      <vt:lpstr>10-12  </vt:lpstr>
      <vt:lpstr>11-12  </vt:lpstr>
      <vt:lpstr>12-12  </vt:lpstr>
      <vt:lpstr>13-12 </vt:lpstr>
      <vt:lpstr>14-12 </vt:lpstr>
      <vt:lpstr>15-12</vt:lpstr>
      <vt:lpstr>16-12</vt:lpstr>
      <vt:lpstr>17-12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Gino Uccelli</dc:creator>
  <cp:keywords/>
  <dc:description/>
  <cp:lastModifiedBy>Roger Farfán (OSF-PAI)</cp:lastModifiedBy>
  <cp:revision/>
  <dcterms:created xsi:type="dcterms:W3CDTF">2018-03-27T21:45:16Z</dcterms:created>
  <dcterms:modified xsi:type="dcterms:W3CDTF">2023-12-18T16:29:35Z</dcterms:modified>
  <cp:category/>
  <cp:contentStatus/>
</cp:coreProperties>
</file>